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97" i="1"/>
  <c r="G94" i="1"/>
  <c r="F94" i="1"/>
  <c r="K94" i="1"/>
  <c r="F102" i="1" l="1"/>
  <c r="A115" i="1"/>
  <c r="D110" i="1"/>
  <c r="A101" i="1"/>
  <c r="A110" i="1"/>
  <c r="A112" i="1"/>
  <c r="A116" i="1"/>
  <c r="A111" i="1"/>
  <c r="A113" i="1"/>
  <c r="F110" i="1"/>
  <c r="A117" i="1"/>
  <c r="A118" i="1"/>
  <c r="A119" i="1"/>
  <c r="A123" i="1"/>
  <c r="D118" i="1"/>
  <c r="A120" i="1"/>
  <c r="A124" i="1"/>
  <c r="F118" i="1"/>
  <c r="A121" i="1"/>
  <c r="A125" i="1"/>
  <c r="A98" i="1"/>
  <c r="F134" i="1"/>
  <c r="A94" i="1"/>
  <c r="A95" i="1"/>
  <c r="A99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72" i="1"/>
  <c r="F178" i="1"/>
  <c r="H177" i="1"/>
  <c r="F167" i="1"/>
  <c r="H179" i="1"/>
  <c r="H171" i="1"/>
  <c r="F177" i="1"/>
  <c r="F171" i="1"/>
  <c r="H186" i="1"/>
  <c r="H167" i="1"/>
  <c r="H165" i="1"/>
  <c r="H170" i="1"/>
  <c r="F179" i="1"/>
  <c r="F170" i="1"/>
  <c r="F165" i="1"/>
  <c r="F186" i="1"/>
  <c r="F168" i="1"/>
  <c r="H173" i="1"/>
  <c r="F172" i="1"/>
  <c r="H164" i="1"/>
  <c r="H168" i="1"/>
  <c r="F173" i="1"/>
  <c r="F187" i="1"/>
  <c r="H166" i="1"/>
  <c r="F176" i="1"/>
  <c r="F175" i="1"/>
  <c r="F181" i="1"/>
  <c r="H184" i="1"/>
  <c r="F180" i="1"/>
  <c r="H17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<sst xmlns="http://schemas.openxmlformats.org/spreadsheetml/2006/main" count="600" uniqueCount="236">
  <si>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</si>
  <si>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</si>
  <si>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</si>
  <si>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</si>
  <si>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</si>
  <si>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</si>
  <si>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</si>
  <si>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</si>
  <si>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</si>
  <si>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</si>
  <si>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</si>
  <si>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</si>
  <si>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</si>
  <si>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</si>
  <si>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</si>
  <si>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</si>
  <si>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</si>
  <si>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</si>
  <si>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</si>
  <si>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</si>
  <si>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</si>
  <si>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</si>
  <si>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</si>
  <si>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</si>
  <si>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</si>
  <si>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</si>
  <si>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</si>
  <si>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</si>
  <si>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</si>
  <si>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</si>
  <si>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</si>
  <si>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</si>
  <si>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</si>
  <si>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</si>
  <si>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</si>
  <si>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</si>
  <si>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</si>
  <si>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</si>
  <si>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</si>
  <si>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</si>
  <si>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</si>
  <si>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</si>
  <si>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</si>
  <si>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</si>
  <si>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</si>
  <si>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</si>
  <si>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</si>
  <si>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</si>
  <si>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</si>
  <si>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</si>
  <si>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</si>
  <si>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</si>
  <si>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</si>
  <si>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</si>
  <si>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</si>
  <si>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</si>
  <si>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</si>
  <si>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</si>
  <si>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</si>
  <si>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</si>
  <si>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</si>
  <si>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</si>
  <si>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</si>
  <si>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</si>
  <si>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</si>
  <si>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</si>
  <si>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</si>
  <si>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</si>
  <si>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</si>
  <si>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</si>
  <si>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</si>
  <si>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</si>
  <si>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</si>
  <si>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</si>
  <si>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</si>
  <si>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</si>
  <si>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</si>
  <si>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</si>
  <si>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</si>
  <si>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</si>
  <si>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</si>
  <si>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</si>
  <si>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</si>
  <si>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</si>
  <si>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</si>
  <si>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</si>
  <si>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</si>
  <si>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</si>
  <si>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</si>
  <si>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</si>
  <si>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</si>
  <si>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</si>
  <si>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</si>
  <si>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</si>
  <si>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</si>
  <si>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</si>
  <si>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</si>
  <si>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</si>
  <si>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</si>
  <si>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</si>
  <si>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</si>
  <si>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</si>
  <si>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</si>
  <si>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</si>
  <si>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</si>
  <si>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</si>
  <si>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</si>
  <si>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</si>
  <si>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</si>
  <si>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</si>
  <si>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</si>
  <si>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</si>
  <si>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</si>
  <si>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</si>
  <si>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</si>
  <si>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</si>
  <si>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</si>
  <si>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</si>
  <si>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</si>
  <si>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</si>
  <si>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</si>
  <si>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</si>
  <si>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</si>
  <si>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</si>
  <si>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</si>
  <si>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</si>
  <si>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</si>
  <si>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</si>
  <si>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</si>
  <si>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</si>
  <si>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</si>
  <si>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</si>
  <si>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</si>
  <si>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</si>
  <si>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</si>
  <si>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</si>
  <si>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</si>
  <si>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</si>
  <si>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</si>
  <si>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</si>
  <si>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</si>
  <si>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</si>
  <si>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</si>
  <si>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</si>
  <si>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</si>
  <si>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</si>
  <si>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</si>
  <si>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</si>
  <si>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</si>
  <si>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</si>
  <si>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</si>
  <si>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</si>
  <si>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</si>
  <si>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</si>
  <si>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</si>
  <si>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</si>
  <si>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</si>
  <si>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</si>
  <si>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</si>
  <si>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</si>
  <si>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</si>
  <si>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</si>
  <si>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</si>
  <si>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</si>
  <si>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</si>
  <si>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</si>
  <si>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</si>
  <si>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</si>
  <si>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</si>
  <si>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</si>
  <si>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</si>
  <si>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</si>
  <si>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</si>
  <si>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</si>
  <si>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</si>
  <si>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</si>
  <si>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</si>
  <si>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</si>
  <si>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</si>
  <si>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</si>
  <si>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</si>
  <si>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</si>
  <si>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</si>
  <si>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</si>
  <si>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</si>
  <si>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305 в части текущего ремонта</t>
  </si>
  <si>
    <t>Техническое обслуживание системы видеонаблюдения.</t>
  </si>
  <si>
    <t xml:space="preserve">  -  замена светильников на лестничном марше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</si>
  <si>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</si>
  <si>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</si>
  <si>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</si>
  <si>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</si>
  <si>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</si>
  <si>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Восстановление работоспособности системы пожарной безопасности (дымоудаление).</t>
  </si>
  <si>
    <t>разово</t>
  </si>
  <si>
    <t>АВР 1/21 от 25.01.2021</t>
  </si>
  <si>
    <t>Замена кнопки выхода системы домофон.</t>
  </si>
  <si>
    <t>АВР 2/21 от 11.02.2021</t>
  </si>
  <si>
    <t>Обслуживание программного обеспечения сервера системы видеонаблюдения.</t>
  </si>
  <si>
    <t>АВР 3/21 от 26.04.2021</t>
  </si>
  <si>
    <t>АВР 5/21 от 29.07.2021, Решение, счет №4243 от 27.04.2021</t>
  </si>
  <si>
    <t>Профилактика блока вызова системы домофон.</t>
  </si>
  <si>
    <t>АВР 4/21 от 10.07.2021</t>
  </si>
  <si>
    <t>Монтаж дверного доводчика (входная дверь на лестничный марш).</t>
  </si>
  <si>
    <t>Приобретение и монтаж доводчиков на двери (незадымляемая лестница, 9 этаж).</t>
  </si>
  <si>
    <t>АВР 6/21 от 29.07.2021, Решение, счет №3981 от 24.03.2021</t>
  </si>
  <si>
    <t>Благоустройство придомовой территории (приобретение отсева на детскую площадку).</t>
  </si>
  <si>
    <t>Ремонт прибора учета тепловой энергии.</t>
  </si>
  <si>
    <t>Монтаж дополнительных камер системы видеонаблюдения (13 шт.)</t>
  </si>
  <si>
    <t>Испытание пожарных кранов (30 шт.).</t>
  </si>
  <si>
    <t>АВР 7/21 от 15.12.2021, Решение, счет №76 от 20.07.2021</t>
  </si>
  <si>
    <t>АВР 8/21 от 10.12.2021, счет №251 от 06.08.2021</t>
  </si>
  <si>
    <t>Замена фланцевой вибровставки на главный трубопровод ГВС.</t>
  </si>
  <si>
    <t>АВР 9/21 от 10.12.2021</t>
  </si>
  <si>
    <t>АВР 10/21 от 10.12.2021, Решение, счет №62 от 05.08.2021</t>
  </si>
  <si>
    <t>АВР 11/21 от 10.12.2021, Решение, счет №1589 от 08.07.2021</t>
  </si>
  <si>
    <t>АВР 12/21 от 10.12.2021</t>
  </si>
  <si>
    <t>АВР 13/21 от 10.12.2021, АВР 14/21 от 10.12.2021</t>
  </si>
  <si>
    <t>Замена кнопки выхода системы домофон(лифтовой холл).</t>
  </si>
  <si>
    <t>АВР 15/21 от 10.12.2021, счет №302 от 30.11.2021</t>
  </si>
  <si>
    <t>Механизированная уборка и вывоз снега с придомовой территории.</t>
  </si>
  <si>
    <t>АВР 16/21 от 10.12.2021</t>
  </si>
  <si>
    <t>Приобретение и монтаж ковровой дорожки.</t>
  </si>
  <si>
    <t>АВР 17/21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</si>
  <si>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</si>
  <si>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</si>
  <si>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</si>
  <si>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</si>
  <si>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</si>
  <si>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</si>
  <si>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</si>
  <si>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</si>
  <si>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светильников в лифтовых холлах</t>
  </si>
  <si>
    <t xml:space="preserve">  -  замена переходных дверей 1-го этажа (лестничный марш)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</si>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</sst>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7" fillId="0" borderId="0"/>
    <xf numFmtId="0" fontId="1" fillId="0" borderId="0"/>
  </cellStyleXfs>
  <cellXfs count="201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8" fillId="0" borderId="0" xfId="6" applyFill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4" fontId="32" fillId="0" borderId="0" xfId="6" applyNumberFormat="1" applyFont="1" applyFill="1" applyBorder="1" applyAlignment="1"/>
    <xf numFmtId="4" fontId="18" fillId="0" borderId="0" xfId="6" applyNumberFormat="1" applyFill="1" applyBorder="1" applyAlignment="1"/>
    <xf numFmtId="0" fontId="0" fillId="0" borderId="0" xfId="0" applyFill="1"/>
    <xf numFmtId="4" fontId="32" fillId="0" borderId="0" xfId="0" applyNumberFormat="1" applyFont="1" applyFill="1" applyBorder="1" applyAlignment="1"/>
    <xf numFmtId="4" fontId="32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5" fillId="0" borderId="0" xfId="0" applyFont="1" applyBorder="1" applyAlignment="1">
      <alignment wrapText="1"/>
    </xf>
    <xf numFmtId="4" fontId="24" fillId="0" borderId="0" xfId="0" applyNumberFormat="1" applyFont="1" applyBorder="1"/>
    <xf numFmtId="0" fontId="16" fillId="0" borderId="0" xfId="2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1" fontId="14" fillId="0" borderId="0" xfId="7" applyNumberFormat="1" applyFill="1" applyBorder="1" applyAlignment="1">
      <alignment horizontal="center"/>
    </xf>
    <xf numFmtId="4" fontId="32" fillId="0" borderId="0" xfId="7" applyNumberFormat="1" applyFont="1" applyFill="1" applyBorder="1" applyAlignment="1"/>
    <xf numFmtId="0" fontId="0" fillId="0" borderId="0" xfId="0" applyFont="1" applyFill="1"/>
    <xf numFmtId="0" fontId="42" fillId="0" borderId="0" xfId="5" applyFont="1" applyFill="1" applyBorder="1" applyAlignment="1"/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center"/>
    </xf>
    <xf numFmtId="0" fontId="12" fillId="0" borderId="0" xfId="8" applyFont="1" applyFill="1"/>
    <xf numFmtId="0" fontId="11" fillId="0" borderId="0" xfId="5" applyFont="1" applyFill="1" applyBorder="1" applyAlignment="1"/>
    <xf numFmtId="0" fontId="11" fillId="0" borderId="0" xfId="6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6" applyFont="1" applyFill="1" applyBorder="1" applyAlignment="1">
      <alignment horizontal="center"/>
    </xf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center"/>
    </xf>
    <xf numFmtId="0" fontId="7" fillId="0" borderId="0" xfId="10" applyFill="1" applyBorder="1" applyAlignment="1">
      <alignment horizontal="center"/>
    </xf>
    <xf numFmtId="4" fontId="32" fillId="0" borderId="0" xfId="10" applyNumberFormat="1" applyFont="1" applyFill="1" applyBorder="1" applyAlignment="1"/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1" fontId="18" fillId="0" borderId="0" xfId="6" applyNumberFormat="1" applyFill="1" applyBorder="1" applyAlignment="1">
      <alignment horizontal="center"/>
    </xf>
    <xf numFmtId="0" fontId="3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5" fillId="0" borderId="0" xfId="5" applyFont="1" applyFill="1" applyBorder="1" applyAlignment="1"/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2" fillId="0" borderId="0" xfId="5" applyFont="1" applyFill="1" applyBorder="1" applyAlignment="1"/>
    <xf numFmtId="0" fontId="15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3" fillId="0" borderId="0" xfId="10" applyFont="1" applyFill="1" applyBorder="1" applyAlignment="1"/>
    <xf numFmtId="0" fontId="2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4" fillId="3" borderId="0" xfId="11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8"/>
    <cellStyle name="Обычный 2 5 2" xfId="11"/>
    <cellStyle name="Обычный 3" xfId="2"/>
    <cellStyle name="Обычный 3 6" xfId="9"/>
    <cellStyle name="Обычный 4" xfId="4"/>
    <cellStyle name="Обычный 4 2" xfId="6"/>
    <cellStyle name="Обычный 4 2 3" xfId="10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7" t="s">
        <v>176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8"/>
      <c r="M8" s="109"/>
      <c r="N8" s="109"/>
      <c r="O8" s="70" t="s">
        <v>82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8"/>
      <c r="M9" s="109"/>
      <c r="N9" s="109"/>
      <c r="O9" s="70" t="s">
        <v>83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1562514.41</v>
      </c>
      <c r="K10" s="109"/>
      <c r="L10" s="188"/>
      <c r="M10" s="109"/>
      <c r="N10" s="109"/>
      <c r="O10" s="70" t="s">
        <v>84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2342839.83</v>
      </c>
      <c r="K11" s="109"/>
      <c r="L11" s="188"/>
      <c r="M11" s="109"/>
      <c r="N11" s="109"/>
      <c r="O11" s="70" t="s">
        <v>85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1614249.77</v>
      </c>
      <c r="K12" s="109"/>
      <c r="L12" s="188"/>
      <c r="M12" s="109"/>
      <c r="N12" s="109"/>
      <c r="O12" s="70" t="s">
        <v>86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362256</v>
      </c>
      <c r="K13" s="109"/>
      <c r="L13" s="188"/>
      <c r="M13" s="109"/>
      <c r="N13" s="109"/>
      <c r="O13" s="70" t="s">
        <v>87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366334.06</v>
      </c>
      <c r="K14" s="109"/>
      <c r="L14" s="188"/>
      <c r="M14" s="109"/>
      <c r="N14" s="109"/>
      <c r="O14" s="70" t="s">
        <v>88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1984894.84</v>
      </c>
      <c r="K15" s="109"/>
      <c r="L15" s="188"/>
      <c r="M15" s="109"/>
      <c r="N15" s="109"/>
      <c r="O15" s="70" t="s">
        <v>89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1984894.84</v>
      </c>
      <c r="K16" s="109"/>
      <c r="L16" s="188"/>
      <c r="M16" s="109"/>
      <c r="N16" s="109"/>
      <c r="O16" s="70" t="s">
        <v>90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8"/>
      <c r="M17" s="109"/>
      <c r="N17" s="109"/>
      <c r="O17" s="70" t="s">
        <v>91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8"/>
      <c r="M18" s="109"/>
      <c r="N18" s="109"/>
      <c r="O18" s="70" t="s">
        <v>92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8"/>
      <c r="M19" s="109"/>
      <c r="N19" s="109"/>
      <c r="O19" s="70" t="s">
        <v>93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8"/>
      <c r="M20" s="109"/>
      <c r="N20" s="109"/>
      <c r="O20" s="70" t="s">
        <v>94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1984894.84</v>
      </c>
      <c r="K21" s="109"/>
      <c r="L21" s="188"/>
      <c r="M21" s="109"/>
      <c r="N21" s="109"/>
      <c r="O21" s="70" t="s">
        <v>95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8"/>
      <c r="M22" s="109"/>
      <c r="N22" s="109"/>
      <c r="O22" s="70" t="s">
        <v>96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8"/>
      <c r="M23" s="109"/>
      <c r="N23" s="109"/>
      <c r="O23" s="70" t="s">
        <v>97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1920459.4000000001</v>
      </c>
      <c r="K24" s="109"/>
      <c r="L24" s="188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556968.6</v>
      </c>
      <c r="G28" s="177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169354.68</v>
      </c>
      <c r="G29" s="177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9"/>
      <c r="L29" s="18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79696.320000000007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108676.8</v>
      </c>
      <c r="G31" s="177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9"/>
      <c r="L32" s="18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70639.92</v>
      </c>
      <c r="G33" s="177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201052.08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Работы (услуги) по управлению многоквартирным домом</v>
      </c>
      <c r="B35" s="172"/>
      <c r="C35" s="172"/>
      <c r="D35" s="172"/>
      <c r="E35" s="172"/>
      <c r="F35" s="177">
        <f>VLOOKUP(A35,ПТО!$A$39:$D$53,2,FALSE)</f>
        <v>452820</v>
      </c>
      <c r="G35" s="177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09"/>
      <c r="L35" s="189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2" t="str">
        <f>ПТО!A47</f>
        <v>Коммунальные ресурсы на содержание общего имущества</v>
      </c>
      <c r="B36" s="172"/>
      <c r="C36" s="172"/>
      <c r="D36" s="172"/>
      <c r="E36" s="172"/>
      <c r="F36" s="177">
        <f>VLOOKUP(A36,ПТО!$A$39:$D$53,2,FALSE)</f>
        <v>148701.57795000001</v>
      </c>
      <c r="G36" s="177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09"/>
      <c r="L36" s="189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9"/>
      <c r="L37" s="189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9"/>
      <c r="L38" s="189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9"/>
      <c r="L39" s="189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9"/>
      <c r="L40" s="189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9"/>
      <c r="L41" s="189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9"/>
      <c r="L42" s="189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7">
        <f>VLOOKUP(A43,ПТО!$A$2:$D$31,4,FALSE)</f>
        <v>16200</v>
      </c>
      <c r="G43" s="177"/>
      <c r="H43" s="19" t="str">
        <f>VLOOKUP(A43,ПТО!$A$2:$D$31,2,FALSE)</f>
        <v>ежегодно</v>
      </c>
      <c r="I43" s="173">
        <f>VLOOKUP(A43,ПТО!$A$2:$D$31,3,FALSE)</f>
        <v>2</v>
      </c>
      <c r="J43" s="173"/>
      <c r="K43" s="109"/>
      <c r="L43" s="189"/>
      <c r="M43" s="116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2" t="str">
        <f>ПТО!A3</f>
        <v>Техническое обслуживание системы видеонаблюдения.</v>
      </c>
      <c r="B44" s="172"/>
      <c r="C44" s="172"/>
      <c r="D44" s="172"/>
      <c r="E44" s="172"/>
      <c r="F44" s="177">
        <f>VLOOKUP(A44,ПТО!$A$2:$D$31,4,FALSE)</f>
        <v>20400</v>
      </c>
      <c r="G44" s="177"/>
      <c r="H44" s="25" t="str">
        <f>VLOOKUP(A44,ПТО!$A$2:$D$31,2,FALSE)</f>
        <v>ежемесячно</v>
      </c>
      <c r="I44" s="173">
        <f>VLOOKUP(A44,ПТО!$A$2:$D$31,3,FALSE)</f>
        <v>12</v>
      </c>
      <c r="J44" s="173"/>
      <c r="K44" s="109"/>
      <c r="L44" s="189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72" t="str">
        <f>ПТО!A4</f>
        <v>Восстановление работоспособности системы пожарной безопасности (дымоудаление).</v>
      </c>
      <c r="B45" s="172"/>
      <c r="C45" s="172"/>
      <c r="D45" s="172"/>
      <c r="E45" s="172"/>
      <c r="F45" s="177">
        <f>VLOOKUP(A45,ПТО!$A$2:$D$31,4,FALSE)</f>
        <v>64681</v>
      </c>
      <c r="G45" s="177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9"/>
      <c r="L45" s="189"/>
      <c r="M45" s="116"/>
      <c r="N45" s="109"/>
      <c r="O45" s="23" t="str">
        <f t="shared" si="1"/>
        <v>Восстановление работоспособности системы пожарной безопасности (дымоудаление).</v>
      </c>
      <c r="R45" s="22" t="s">
        <v>72</v>
      </c>
    </row>
    <row r="46" spans="1:18" ht="51" customHeight="1" outlineLevel="1">
      <c r="A46" s="172" t="str">
        <f>ПТО!A5</f>
        <v>Замена кнопки выхода системы домофон.</v>
      </c>
      <c r="B46" s="172"/>
      <c r="C46" s="172"/>
      <c r="D46" s="172"/>
      <c r="E46" s="172"/>
      <c r="F46" s="177">
        <f>VLOOKUP(A46,ПТО!$A$2:$D$31,4,FALSE)</f>
        <v>1950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9"/>
      <c r="L46" s="189"/>
      <c r="M46" s="116"/>
      <c r="N46" s="109"/>
      <c r="O46" s="23" t="str">
        <f t="shared" si="1"/>
        <v>Замена кнопки выхода системы домофон.</v>
      </c>
      <c r="R46" s="22" t="s">
        <v>72</v>
      </c>
    </row>
    <row r="47" spans="1:18" ht="51" customHeight="1" outlineLevel="1">
      <c r="A47" s="172" t="str">
        <f>ПТО!A6</f>
        <v>Обслуживание программного обеспечения сервера системы видеонаблюдения.</v>
      </c>
      <c r="B47" s="172"/>
      <c r="C47" s="172"/>
      <c r="D47" s="172"/>
      <c r="E47" s="172"/>
      <c r="F47" s="177">
        <f>VLOOKUP(A47,ПТО!$A$2:$D$31,4,FALSE)</f>
        <v>236.11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9"/>
      <c r="L47" s="189"/>
      <c r="M47" s="116"/>
      <c r="N47" s="109"/>
      <c r="O47" s="23" t="str">
        <f t="shared" si="1"/>
        <v>Обслуживание программного обеспечения сервера системы видеонаблюдения.</v>
      </c>
      <c r="R47" s="22" t="s">
        <v>72</v>
      </c>
    </row>
    <row r="48" spans="1:18" ht="51" customHeight="1" outlineLevel="1">
      <c r="A48" s="172" t="str">
        <f>ПТО!A7</f>
        <v>Профилактика блока вызова системы домофон.</v>
      </c>
      <c r="B48" s="172"/>
      <c r="C48" s="172"/>
      <c r="D48" s="172"/>
      <c r="E48" s="172"/>
      <c r="F48" s="177">
        <f>VLOOKUP(A48,ПТО!$A$2:$D$31,4,FALSE)</f>
        <v>300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9"/>
      <c r="L48" s="189"/>
      <c r="M48" s="116"/>
      <c r="N48" s="109"/>
      <c r="O48" s="23" t="str">
        <f t="shared" si="1"/>
        <v>Профилактика блока вызова системы домофон.</v>
      </c>
      <c r="R48" s="22" t="s">
        <v>72</v>
      </c>
    </row>
    <row r="49" spans="1:18" ht="51" customHeight="1" outlineLevel="1">
      <c r="A49" s="172" t="str">
        <f>ПТО!A8</f>
        <v>Приобретение и монтаж доводчиков на двери (незадымляемая лестница, 9 этаж).</v>
      </c>
      <c r="B49" s="172"/>
      <c r="C49" s="172"/>
      <c r="D49" s="172"/>
      <c r="E49" s="172"/>
      <c r="F49" s="177">
        <f>VLOOKUP(A49,ПТО!$A$2:$D$31,4,FALSE)</f>
        <v>2135.7800000000002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9"/>
      <c r="L49" s="189"/>
      <c r="M49" s="116"/>
      <c r="N49" s="109"/>
      <c r="O49" s="23" t="str">
        <f t="shared" si="1"/>
        <v>Приобретение и монтаж доводчиков на двери (незадымляемая лестница, 9 этаж).</v>
      </c>
      <c r="R49" s="22" t="s">
        <v>72</v>
      </c>
    </row>
    <row r="50" spans="1:18" ht="51" customHeight="1" outlineLevel="1">
      <c r="A50" s="172" t="str">
        <f>ПТО!A9</f>
        <v>Монтаж дверного доводчика (входная дверь на лестничный марш).</v>
      </c>
      <c r="B50" s="172"/>
      <c r="C50" s="172"/>
      <c r="D50" s="172"/>
      <c r="E50" s="172"/>
      <c r="F50" s="177">
        <f>VLOOKUP(A50,ПТО!$A$2:$D$31,4,FALSE)</f>
        <v>1600</v>
      </c>
      <c r="G50" s="177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09"/>
      <c r="L50" s="189"/>
      <c r="M50" s="116"/>
      <c r="N50" s="109"/>
      <c r="O50" s="23" t="str">
        <f t="shared" si="1"/>
        <v>Монтаж дверного доводчика (входная дверь на лестничный марш).</v>
      </c>
      <c r="R50" s="22" t="s">
        <v>72</v>
      </c>
    </row>
    <row r="51" spans="1:18" ht="51" customHeight="1" outlineLevel="1">
      <c r="A51" s="172" t="str">
        <f>ПТО!A10</f>
        <v>Благоустройство придомовой территории (приобретение отсева на детскую площадку).</v>
      </c>
      <c r="B51" s="172"/>
      <c r="C51" s="172"/>
      <c r="D51" s="172"/>
      <c r="E51" s="172"/>
      <c r="F51" s="177">
        <f>VLOOKUP(A51,ПТО!$A$2:$D$31,4,FALSE)</f>
        <v>1738.83</v>
      </c>
      <c r="G51" s="177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09"/>
      <c r="L51" s="189"/>
      <c r="M51" s="116"/>
      <c r="N51" s="109"/>
      <c r="O51" s="23" t="str">
        <f t="shared" si="1"/>
        <v>Благоустройство придомовой территории (приобретение отсева на детскую площадку).</v>
      </c>
      <c r="R51" s="22" t="s">
        <v>72</v>
      </c>
    </row>
    <row r="52" spans="1:18" ht="51" customHeight="1" outlineLevel="1">
      <c r="A52" s="172" t="str">
        <f>ПТО!A11</f>
        <v>Ремонт прибора учета тепловой энергии.</v>
      </c>
      <c r="B52" s="172"/>
      <c r="C52" s="172"/>
      <c r="D52" s="172"/>
      <c r="E52" s="172"/>
      <c r="F52" s="177">
        <f>VLOOKUP(A52,ПТО!$A$2:$D$31,4,FALSE)</f>
        <v>2453.34</v>
      </c>
      <c r="G52" s="177"/>
      <c r="H52" s="25" t="str">
        <f>VLOOKUP(A52,ПТО!$A$2:$D$31,2,FALSE)</f>
        <v>разово</v>
      </c>
      <c r="I52" s="173">
        <f>VLOOKUP(A52,ПТО!$A$2:$D$31,3,FALSE)</f>
        <v>1</v>
      </c>
      <c r="J52" s="173"/>
      <c r="K52" s="109"/>
      <c r="L52" s="189"/>
      <c r="M52" s="116"/>
      <c r="N52" s="109"/>
      <c r="O52" s="23" t="str">
        <f t="shared" si="1"/>
        <v>Ремонт прибора учета тепловой энергии.</v>
      </c>
      <c r="R52" s="22" t="s">
        <v>72</v>
      </c>
    </row>
    <row r="53" spans="1:18" ht="51" customHeight="1" outlineLevel="1">
      <c r="A53" s="172" t="str">
        <f>ПТО!A12</f>
        <v>Замена фланцевой вибровставки на главный трубопровод ГВС.</v>
      </c>
      <c r="B53" s="172"/>
      <c r="C53" s="172"/>
      <c r="D53" s="172"/>
      <c r="E53" s="172"/>
      <c r="F53" s="177">
        <f>VLOOKUP(A53,ПТО!$A$2:$D$31,4,FALSE)</f>
        <v>1003.33</v>
      </c>
      <c r="G53" s="177"/>
      <c r="H53" s="25" t="str">
        <f>VLOOKUP(A53,ПТО!$A$2:$D$31,2,FALSE)</f>
        <v>разово</v>
      </c>
      <c r="I53" s="173">
        <f>VLOOKUP(A53,ПТО!$A$2:$D$31,3,FALSE)</f>
        <v>1</v>
      </c>
      <c r="J53" s="173"/>
      <c r="K53" s="109"/>
      <c r="L53" s="189"/>
      <c r="M53" s="116"/>
      <c r="N53" s="109"/>
      <c r="O53" s="23" t="str">
        <f t="shared" si="1"/>
        <v>Замена фланцевой вибровставки на главный трубопровод ГВС.</v>
      </c>
      <c r="R53" s="22" t="s">
        <v>72</v>
      </c>
    </row>
    <row r="54" spans="1:18" ht="51" customHeight="1" outlineLevel="1">
      <c r="A54" s="172" t="str">
        <f>ПТО!A13</f>
        <v>Монтаж дополнительных камер системы видеонаблюдения (13 шт.)</v>
      </c>
      <c r="B54" s="172"/>
      <c r="C54" s="172"/>
      <c r="D54" s="172"/>
      <c r="E54" s="172"/>
      <c r="F54" s="177">
        <f>VLOOKUP(A54,ПТО!$A$2:$D$31,4,FALSE)</f>
        <v>235675</v>
      </c>
      <c r="G54" s="177"/>
      <c r="H54" s="25" t="str">
        <f>VLOOKUP(A54,ПТО!$A$2:$D$31,2,FALSE)</f>
        <v>разово</v>
      </c>
      <c r="I54" s="173">
        <f>VLOOKUP(A54,ПТО!$A$2:$D$31,3,FALSE)</f>
        <v>1</v>
      </c>
      <c r="J54" s="173"/>
      <c r="K54" s="109"/>
      <c r="L54" s="189"/>
      <c r="M54" s="116"/>
      <c r="N54" s="109"/>
      <c r="O54" s="23" t="str">
        <f t="shared" si="1"/>
        <v>Монтаж дополнительных камер системы видеонаблюдения (13 шт.)</v>
      </c>
      <c r="R54" s="22" t="s">
        <v>72</v>
      </c>
    </row>
    <row r="55" spans="1:18" ht="51" customHeight="1" outlineLevel="1">
      <c r="A55" s="172" t="str">
        <f>ПТО!A14</f>
        <v>Испытание пожарных кранов (30 шт.).</v>
      </c>
      <c r="B55" s="172"/>
      <c r="C55" s="172"/>
      <c r="D55" s="172"/>
      <c r="E55" s="172"/>
      <c r="F55" s="177">
        <f>VLOOKUP(A55,ПТО!$A$2:$D$31,4,FALSE)</f>
        <v>7500</v>
      </c>
      <c r="G55" s="177"/>
      <c r="H55" s="25" t="str">
        <f>VLOOKUP(A55,ПТО!$A$2:$D$31,2,FALSE)</f>
        <v>разово</v>
      </c>
      <c r="I55" s="173">
        <f>VLOOKUP(A55,ПТО!$A$2:$D$31,3,FALSE)</f>
        <v>1</v>
      </c>
      <c r="J55" s="173"/>
      <c r="K55" s="109"/>
      <c r="L55" s="189"/>
      <c r="M55" s="116"/>
      <c r="N55" s="109"/>
      <c r="O55" s="23" t="str">
        <f t="shared" si="1"/>
        <v>Испытание пожарных кранов (30 шт.).</v>
      </c>
      <c r="R55" s="22" t="s">
        <v>72</v>
      </c>
    </row>
    <row r="56" spans="1:18" ht="51" customHeight="1" outlineLevel="1">
      <c r="A56" s="172" t="str">
        <f>ПТО!A15</f>
        <v>Замена кнопки выхода системы домофон(лифтовой холл).</v>
      </c>
      <c r="B56" s="172"/>
      <c r="C56" s="172"/>
      <c r="D56" s="172"/>
      <c r="E56" s="172"/>
      <c r="F56" s="177">
        <f>VLOOKUP(A56,ПТО!$A$2:$D$31,4,FALSE)</f>
        <v>2000</v>
      </c>
      <c r="G56" s="177"/>
      <c r="H56" s="25" t="str">
        <f>VLOOKUP(A56,ПТО!$A$2:$D$31,2,FALSE)</f>
        <v>разово</v>
      </c>
      <c r="I56" s="173">
        <f>VLOOKUP(A56,ПТО!$A$2:$D$31,3,FALSE)</f>
        <v>1</v>
      </c>
      <c r="J56" s="173"/>
      <c r="K56" s="109"/>
      <c r="L56" s="189"/>
      <c r="M56" s="116"/>
      <c r="N56" s="109"/>
      <c r="O56" s="23" t="str">
        <f t="shared" si="1"/>
        <v>Замена кнопки выхода системы домофон(лифтовой холл).</v>
      </c>
      <c r="R56" s="22" t="s">
        <v>72</v>
      </c>
    </row>
    <row r="57" spans="1:18" ht="51" customHeight="1" outlineLevel="1">
      <c r="A57" s="172" t="str">
        <f>ПТО!A16</f>
        <v>Механизированная уборка и вывоз снега с придомовой территории.</v>
      </c>
      <c r="B57" s="172"/>
      <c r="C57" s="172"/>
      <c r="D57" s="172"/>
      <c r="E57" s="172"/>
      <c r="F57" s="177">
        <f>VLOOKUP(A57,ПТО!$A$2:$D$31,4,FALSE)</f>
        <v>23323.09</v>
      </c>
      <c r="G57" s="177"/>
      <c r="H57" s="25" t="str">
        <f>VLOOKUP(A57,ПТО!$A$2:$D$31,2,FALSE)</f>
        <v>разово</v>
      </c>
      <c r="I57" s="173">
        <f>VLOOKUP(A57,ПТО!$A$2:$D$31,3,FALSE)</f>
        <v>1</v>
      </c>
      <c r="J57" s="173"/>
      <c r="K57" s="109"/>
      <c r="L57" s="189"/>
      <c r="M57" s="116"/>
      <c r="N57" s="109"/>
      <c r="O57" s="23" t="str">
        <f t="shared" si="1"/>
        <v>Механизированная уборка и вывоз снега с придомовой территории.</v>
      </c>
      <c r="R57" s="22" t="s">
        <v>72</v>
      </c>
    </row>
    <row r="58" spans="1:18" ht="51" customHeight="1" outlineLevel="1">
      <c r="A58" s="172" t="str">
        <f>ПТО!A17</f>
        <v>Приобретение и монтаж ковровой дорожки.</v>
      </c>
      <c r="B58" s="172"/>
      <c r="C58" s="172"/>
      <c r="D58" s="172"/>
      <c r="E58" s="172"/>
      <c r="F58" s="177">
        <f>VLOOKUP(A58,ПТО!$A$2:$D$31,4,FALSE)</f>
        <v>7398</v>
      </c>
      <c r="G58" s="177"/>
      <c r="H58" s="25" t="str">
        <f>VLOOKUP(A58,ПТО!$A$2:$D$31,2,FALSE)</f>
        <v>разово</v>
      </c>
      <c r="I58" s="173">
        <f>VLOOKUP(A58,ПТО!$A$2:$D$31,3,FALSE)</f>
        <v>1</v>
      </c>
      <c r="J58" s="173"/>
      <c r="K58" s="109"/>
      <c r="L58" s="189"/>
      <c r="M58" s="116"/>
      <c r="N58" s="109"/>
      <c r="O58" s="23" t="str">
        <f t="shared" si="1"/>
        <v>Приобретение и монтаж ковровой дорожки.</v>
      </c>
      <c r="R58" s="22" t="s">
        <v>72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9"/>
      <c r="L59" s="189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9"/>
      <c r="L60" s="189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9"/>
      <c r="L61" s="189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9"/>
      <c r="L62" s="189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9"/>
      <c r="L63" s="189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9"/>
      <c r="L64" s="189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9"/>
      <c r="L65" s="189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9"/>
      <c r="L66" s="189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9"/>
      <c r="L67" s="189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9"/>
      <c r="L68" s="189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9"/>
      <c r="L69" s="189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9"/>
      <c r="L70" s="189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6"/>
      <c r="L71" s="18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9"/>
      <c r="L72" s="189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9"/>
      <c r="L75" s="192"/>
      <c r="M75" s="109"/>
      <c r="N75" s="109"/>
      <c r="O75" s="70" t="s">
        <v>99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9"/>
      <c r="L76" s="192"/>
      <c r="M76" s="109"/>
      <c r="N76" s="109"/>
      <c r="O76" s="70" t="s">
        <v>100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9"/>
      <c r="L77" s="192"/>
      <c r="M77" s="109"/>
      <c r="N77" s="109"/>
      <c r="O77" s="70" t="s">
        <v>101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7">
        <f>VLOOKUP(O78,АО,3,FALSE)</f>
        <v>0</v>
      </c>
      <c r="K78" s="109"/>
      <c r="L78" s="192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78"/>
      <c r="M81" s="109"/>
      <c r="N81" s="109"/>
      <c r="O81" s="70" t="s">
        <v>103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78"/>
      <c r="M82" s="109"/>
      <c r="N82" s="109"/>
      <c r="O82" s="70" t="s">
        <v>104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7">
        <f t="shared" si="2"/>
        <v>216145.06</v>
      </c>
      <c r="K83" s="109"/>
      <c r="L83" s="178"/>
      <c r="M83" s="109"/>
      <c r="N83" s="109"/>
      <c r="O83" s="70" t="s">
        <v>105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7">
        <f t="shared" si="2"/>
        <v>0</v>
      </c>
      <c r="K84" s="109"/>
      <c r="L84" s="178"/>
      <c r="M84" s="109"/>
      <c r="N84" s="109"/>
      <c r="O84" s="70" t="s">
        <v>106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7">
        <f t="shared" si="2"/>
        <v>0</v>
      </c>
      <c r="K85" s="109"/>
      <c r="L85" s="178"/>
      <c r="M85" s="109"/>
      <c r="N85" s="109"/>
      <c r="O85" s="70" t="s">
        <v>107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7">
        <f t="shared" si="2"/>
        <v>235746.68</v>
      </c>
      <c r="K86" s="109"/>
      <c r="L86" s="178"/>
      <c r="M86" s="109"/>
      <c r="N86" s="109"/>
      <c r="O86" s="70" t="s">
        <v>108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9"/>
      <c r="L87" s="178"/>
      <c r="M87" s="109"/>
      <c r="N87" s="109"/>
      <c r="O87" s="70" t="s">
        <v>109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9"/>
      <c r="L88" s="178"/>
      <c r="M88" s="109"/>
      <c r="N88" s="109"/>
      <c r="O88" s="70" t="s">
        <v>110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9"/>
      <c r="L89" s="178"/>
      <c r="M89" s="109"/>
      <c r="N89" s="109"/>
      <c r="O89" s="70" t="s">
        <v>111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7">
        <f t="shared" si="2"/>
        <v>0</v>
      </c>
      <c r="K90" s="109"/>
      <c r="L90" s="178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3" t="s">
        <v>48</v>
      </c>
      <c r="B93" s="193"/>
      <c r="C93" s="193"/>
      <c r="D93" s="194" t="s">
        <v>49</v>
      </c>
      <c r="E93" s="194"/>
      <c r="F93" s="10" t="s">
        <v>50</v>
      </c>
      <c r="G93" s="193" t="s">
        <v>51</v>
      </c>
      <c r="H93" s="193"/>
      <c r="I93" s="193"/>
      <c r="J93" s="193"/>
      <c r="K93" s="109"/>
      <c r="L93" s="109"/>
      <c r="M93" s="109"/>
      <c r="N93" s="109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5" t="str">
        <f>IF(VLOOKUP("эл",АО,3,FALSE)&gt;0,VLOOKUP("эл",АО,3,FALSE),0)</f>
        <v>Предоставляется</v>
      </c>
      <c r="E94" s="175"/>
      <c r="F94" s="13" t="str">
        <f>IF(VLOOKUP("эл",АО,3,FALSE)&gt;0,VLOOKUP("эл",АО,4,FALSE),0)</f>
        <v>кВт*ч</v>
      </c>
      <c r="G94" s="176">
        <f>VLOOKUP("эл",АО,5,FALSE)</f>
        <v>486932.26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outlineLevel="2">
      <c r="A95" s="191" t="str">
        <f>IF(VLOOKUP("эл",АО,3,FALSE)&gt;0,VLOOKUP("эл1",АО,2,FALSE),0)</f>
        <v>Общий объем потребления, нат. показ.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405776.88</v>
      </c>
      <c r="L95" s="179"/>
      <c r="O95" s="1" t="s">
        <v>113</v>
      </c>
    </row>
    <row r="96" spans="1:15" outlineLevel="2">
      <c r="A96" s="191" t="str">
        <f>IF(VLOOKUP("эл",АО,3,FALSE)&gt;0,VLOOKUP("эл2",АО,2,FALSE),0)</f>
        <v>Оплачено потребителями, руб.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479419.97</v>
      </c>
      <c r="L96" s="179"/>
      <c r="O96" s="1" t="s">
        <v>114</v>
      </c>
    </row>
    <row r="97" spans="1:15" outlineLevel="2">
      <c r="A97" s="191" t="str">
        <f>IF(VLOOKUP("эл",АО,3,FALSE)&gt;0,VLOOKUP("эл3",АО,2,FALSE),0)</f>
        <v>Задолженность потребителей, руб.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7512.2900000000373</v>
      </c>
      <c r="L97" s="179"/>
      <c r="O97" s="1" t="s">
        <v>115</v>
      </c>
    </row>
    <row r="98" spans="1:15" ht="37.5" customHeight="1" outlineLevel="2">
      <c r="A98" s="191" t="str">
        <f>IF(VLOOKUP("эл",АО,3,FALSE)&gt;0,VLOOKUP("эл4",АО,2,FALSE),0)</f>
        <v>Начислено поставщиком (поставщиками) коммунального ресурса, руб.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486932.26</v>
      </c>
      <c r="L98" s="179"/>
      <c r="O98" s="1" t="s">
        <v>116</v>
      </c>
    </row>
    <row r="99" spans="1:15" outlineLevel="2">
      <c r="A99" s="191" t="str">
        <f>IF(VLOOKUP("эл",АО,3,FALSE)&gt;0,VLOOKUP("эл5",АО,2,FALSE),0)</f>
        <v>Оплачено поставщику (поставщикам) коммунального ресурса, руб.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486932.26</v>
      </c>
      <c r="L99" s="179"/>
      <c r="O99" s="1" t="s">
        <v>117</v>
      </c>
    </row>
    <row r="100" spans="1:15" ht="39" customHeight="1" outlineLevel="2">
      <c r="A100" s="19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118</v>
      </c>
    </row>
    <row r="101" spans="1:15" ht="34.5" customHeight="1" outlineLevel="2">
      <c r="A101" s="19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119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6">
        <f>VLOOKUP("хвс",АО,5,FALSE)</f>
        <v>162365.71</v>
      </c>
      <c r="H102" s="175"/>
      <c r="I102" s="175"/>
      <c r="J102" s="175"/>
      <c r="L102" s="179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12300.43</v>
      </c>
      <c r="L103" s="179"/>
      <c r="O103" s="1" t="s">
        <v>122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155394.34</v>
      </c>
      <c r="L104" s="179"/>
      <c r="O104" s="1" t="s">
        <v>123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6971.3699999999953</v>
      </c>
      <c r="L105" s="179"/>
      <c r="O105" s="1" t="s">
        <v>124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162365.71</v>
      </c>
      <c r="L106" s="179"/>
      <c r="O106" s="1" t="s">
        <v>125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162365.71</v>
      </c>
      <c r="L107" s="179"/>
      <c r="O107" s="1" t="s">
        <v>126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127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128</v>
      </c>
    </row>
    <row r="110" spans="1:15" ht="27" customHeight="1" outlineLevel="1">
      <c r="A110" s="174" t="str">
        <f>IF(VLOOKUP("воо",АО,3,FALSE)&gt;0,"Водоотведение",0)</f>
        <v>Водоотведение</v>
      </c>
      <c r="B110" s="174"/>
      <c r="C110" s="174"/>
      <c r="D110" s="175" t="str">
        <f>IF(VLOOKUP("воо",АО,3,FALSE)&gt;0,VLOOKUP("воо",АО,3,FALSE),0)</f>
        <v>Предоставляется</v>
      </c>
      <c r="E110" s="175"/>
      <c r="F110" s="13" t="str">
        <f>IF(VLOOKUP("воо",АО,3,FALSE)&gt;0,VLOOKUP("воо",АО,4,FALSE),0)</f>
        <v>куб.м.</v>
      </c>
      <c r="G110" s="176">
        <f>VLOOKUP("воо",АО,5,FALSE)</f>
        <v>294580.90000000002</v>
      </c>
      <c r="H110" s="175"/>
      <c r="I110" s="175"/>
      <c r="J110" s="175"/>
      <c r="L110" s="179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18365.39</v>
      </c>
      <c r="L111" s="179"/>
      <c r="O111" s="1" t="s">
        <v>130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282089.11</v>
      </c>
      <c r="L112" s="179"/>
      <c r="O112" s="1" t="s">
        <v>131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12491.790000000037</v>
      </c>
      <c r="L113" s="179"/>
      <c r="O113" s="1" t="s">
        <v>132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294580.90000000002</v>
      </c>
      <c r="L114" s="179"/>
      <c r="O114" s="1" t="s">
        <v>133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294580.90000000002</v>
      </c>
      <c r="L115" s="179"/>
      <c r="O115" s="1" t="s">
        <v>134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135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136</v>
      </c>
    </row>
    <row r="118" spans="1:15" ht="32.25" customHeight="1" outlineLevel="1">
      <c r="A118" s="174" t="str">
        <f>IF(VLOOKUP("тко",АО,3,FALSE)&gt;0,"Обращение с ТКО",0)</f>
        <v>Обращение с ТКО</v>
      </c>
      <c r="B118" s="174"/>
      <c r="C118" s="174"/>
      <c r="D118" s="175" t="str">
        <f>IF(VLOOKUP("тко",АО,3,FALSE)&gt;0,VLOOKUP("тко",АО,3,FALSE),0)</f>
        <v>Предоставляется</v>
      </c>
      <c r="E118" s="175"/>
      <c r="F118" s="13" t="str">
        <f>IF(VLOOKUP("тко",АО,3,FALSE)&gt;0,VLOOKUP("тко",АО,4,FALSE),0)</f>
        <v>куб.м.</v>
      </c>
      <c r="G118" s="176">
        <f>VLOOKUP("тко",АО,5,FALSE)</f>
        <v>348902.92</v>
      </c>
      <c r="H118" s="175"/>
      <c r="I118" s="175"/>
      <c r="J118" s="175"/>
      <c r="L118" s="47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648.69000000000005</v>
      </c>
      <c r="L119" s="47"/>
      <c r="O119" s="1" t="s">
        <v>138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352361.68</v>
      </c>
      <c r="L120" s="47"/>
      <c r="O120" s="1" t="s">
        <v>139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348902.92</v>
      </c>
      <c r="L122" s="47"/>
      <c r="O122" s="1" t="s">
        <v>141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348902.92</v>
      </c>
      <c r="L123" s="47"/>
      <c r="O123" s="1" t="s">
        <v>142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4" t="str">
        <f>IF(VLOOKUP("гвс",АО,3,FALSE)&gt;0,"Горячее водоснабжение",0)</f>
        <v>Горячее водоснабжение</v>
      </c>
      <c r="B126" s="174"/>
      <c r="C126" s="174"/>
      <c r="D126" s="175" t="str">
        <f>IF(VLOOKUP("гвс",АО,3,FALSE)&gt;0,VLOOKUP("гвс",АО,3,FALSE),0)</f>
        <v>Предоставляется</v>
      </c>
      <c r="E126" s="175"/>
      <c r="F126" s="13" t="str">
        <f>IF(VLOOKUP("гвс",АО,3,FALSE)&gt;0,VLOOKUP("гвс",АО,4,FALSE),0)</f>
        <v>куб.м.</v>
      </c>
      <c r="G126" s="176">
        <f>VLOOKUP("гвс",АО,5,FALSE)</f>
        <v>75469.570000000007</v>
      </c>
      <c r="H126" s="175"/>
      <c r="I126" s="175"/>
      <c r="J126" s="175"/>
      <c r="L126" s="47"/>
    </row>
    <row r="127" spans="1:15" ht="32.25" customHeight="1" outlineLevel="2">
      <c r="A127" s="170" t="str">
        <f t="shared" ref="A127:A133" si="10">IF(VLOOKUP("гвс",АО,3,FALSE)&gt;0,VLOOKUP(O127,АО,2,FALSE),0)</f>
        <v>Общий объем потребления, нат. показ.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5717.39</v>
      </c>
      <c r="L127" s="47"/>
      <c r="O127" s="1" t="s">
        <v>146</v>
      </c>
    </row>
    <row r="128" spans="1:15" ht="32.25" customHeight="1" outlineLevel="2">
      <c r="A128" s="170" t="str">
        <f t="shared" si="10"/>
        <v>Оплачено потребителями, руб.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79384.639999999999</v>
      </c>
      <c r="L128" s="47"/>
      <c r="O128" s="1" t="s">
        <v>147</v>
      </c>
    </row>
    <row r="129" spans="1:15" ht="32.25" customHeight="1" outlineLevel="2">
      <c r="A129" s="170" t="str">
        <f t="shared" si="10"/>
        <v>Задолженность потребителей, руб.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70" t="str">
        <f t="shared" si="10"/>
        <v>Начислено поставщиком (поставщиками) коммунального ресурса, руб.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75469.570000000007</v>
      </c>
      <c r="L130" s="47"/>
      <c r="O130" s="1" t="s">
        <v>149</v>
      </c>
    </row>
    <row r="131" spans="1:15" ht="32.25" customHeight="1" outlineLevel="2">
      <c r="A131" s="170" t="str">
        <f t="shared" si="10"/>
        <v>Оплачено поставщику (поставщикам) коммунального ресурса, руб.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75469.570000000007</v>
      </c>
      <c r="L131" s="47"/>
      <c r="O131" s="1" t="s">
        <v>150</v>
      </c>
    </row>
    <row r="132" spans="1:15" ht="32.25" customHeight="1" outlineLevel="2">
      <c r="A132" s="170" t="str">
        <f t="shared" si="10"/>
        <v>Задолженность перед поставщиком (поставщиками) коммунального ресурса, руб.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0" t="str">
        <f t="shared" si="10"/>
        <v>Размер пени и штрафов, уплаченных поставщику (поставщикам) коммунального ресурса, руб.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4">
        <f>IF(VLOOKUP("отопление",АО,3,FALSE)&gt;0,"Отопление",0)</f>
        <v>0</v>
      </c>
      <c r="B134" s="174"/>
      <c r="C134" s="174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5"/>
      <c r="I134" s="175"/>
      <c r="J134" s="175"/>
      <c r="L134" s="47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170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12</v>
      </c>
      <c r="L145" s="15"/>
      <c r="O145" t="s">
        <v>171</v>
      </c>
    </row>
    <row r="146" spans="1:15" ht="30" customHeight="1" outlineLevel="1">
      <c r="A146" s="170" t="s">
        <v>173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214581.16</v>
      </c>
      <c r="O146" t="s">
        <v>172</v>
      </c>
    </row>
    <row r="149" spans="1:15" ht="52.5" customHeight="1">
      <c r="A149" s="195" t="s">
        <v>185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7" t="s">
        <v>192</v>
      </c>
      <c r="B154" s="197"/>
      <c r="C154" s="197"/>
      <c r="D154" s="197"/>
      <c r="E154" s="27">
        <f>ПТО!G1</f>
        <v>-121364.03</v>
      </c>
    </row>
    <row r="155" spans="1:15" ht="34.5" customHeight="1">
      <c r="A155" s="196" t="s">
        <v>191</v>
      </c>
      <c r="B155" s="196"/>
      <c r="C155" s="196"/>
      <c r="D155" s="196"/>
      <c r="E155" s="28">
        <f>J13</f>
        <v>362256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16200</v>
      </c>
      <c r="G158" s="177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2</v>
      </c>
      <c r="J158" s="17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Техническое обслуживание системы видеонаблюдения.</v>
      </c>
      <c r="B159" s="172"/>
      <c r="C159" s="172"/>
      <c r="D159" s="172"/>
      <c r="E159" s="172"/>
      <c r="F159" s="177">
        <f t="shared" si="15"/>
        <v>20400</v>
      </c>
      <c r="G159" s="177"/>
      <c r="H159" s="24" t="str">
        <f t="shared" si="16"/>
        <v>ежемесячно</v>
      </c>
      <c r="I159" s="173">
        <f t="shared" si="17"/>
        <v>12</v>
      </c>
      <c r="J159" s="173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72" t="str">
        <f t="shared" si="14"/>
        <v>Восстановление работоспособности системы пожарной безопасности (дымоудаление).</v>
      </c>
      <c r="B160" s="172"/>
      <c r="C160" s="172"/>
      <c r="D160" s="172"/>
      <c r="E160" s="172"/>
      <c r="F160" s="177">
        <f t="shared" si="15"/>
        <v>64681</v>
      </c>
      <c r="G160" s="177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Восстановление работоспособности системы пожарной безопасности (дымоудаление).</v>
      </c>
    </row>
    <row r="161" spans="1:14" ht="28.5" customHeight="1">
      <c r="A161" s="172" t="str">
        <f>IF(N161&gt;0,N161,0)</f>
        <v>Замена кнопки выхода системы домофон.</v>
      </c>
      <c r="B161" s="172"/>
      <c r="C161" s="172"/>
      <c r="D161" s="172"/>
      <c r="E161" s="172"/>
      <c r="F161" s="177">
        <f t="shared" si="15"/>
        <v>1950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Замена кнопки выхода системы домофон.</v>
      </c>
    </row>
    <row r="162" spans="1:14" ht="28.5" customHeight="1">
      <c r="A162" s="172" t="str">
        <f t="shared" si="14"/>
        <v>Обслуживание программного обеспечения сервера системы видеонаблюдения.</v>
      </c>
      <c r="B162" s="172"/>
      <c r="C162" s="172"/>
      <c r="D162" s="172"/>
      <c r="E162" s="172"/>
      <c r="F162" s="177">
        <f t="shared" si="15"/>
        <v>236.11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Обслуживание программного обеспечения сервера системы видеонаблюдения.</v>
      </c>
    </row>
    <row r="163" spans="1:14" ht="28.5" customHeight="1">
      <c r="A163" s="172" t="str">
        <f t="shared" si="14"/>
        <v>Профилактика блока вызова системы домофон.</v>
      </c>
      <c r="B163" s="172"/>
      <c r="C163" s="172"/>
      <c r="D163" s="172"/>
      <c r="E163" s="172"/>
      <c r="F163" s="177">
        <f t="shared" si="15"/>
        <v>300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Профилактика блока вызова системы домофон.</v>
      </c>
    </row>
    <row r="164" spans="1:14" ht="28.5" customHeight="1">
      <c r="A164" s="172" t="str">
        <f t="shared" ref="A164:A187" si="18">IF(N164&gt;0,N164,0)</f>
        <v>Приобретение и монтаж доводчиков на двери (незадымляемая лестница, 9 этаж).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2135.7800000000002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Приобретение и монтаж доводчиков на двери (незадымляемая лестница, 9 этаж).</v>
      </c>
    </row>
    <row r="165" spans="1:14" ht="28.5" customHeight="1">
      <c r="A165" s="172" t="str">
        <f t="shared" si="18"/>
        <v>Монтаж дверного доводчика (входная дверь на лестничный марш).</v>
      </c>
      <c r="B165" s="172"/>
      <c r="C165" s="172"/>
      <c r="D165" s="172"/>
      <c r="E165" s="172"/>
      <c r="F165" s="177">
        <f t="shared" si="19"/>
        <v>1600</v>
      </c>
      <c r="G165" s="177"/>
      <c r="H165" s="29" t="str">
        <f t="shared" si="16"/>
        <v>разово</v>
      </c>
      <c r="I165" s="173">
        <f t="shared" si="20"/>
        <v>1</v>
      </c>
      <c r="J165" s="173"/>
      <c r="M165" s="22" t="s">
        <v>72</v>
      </c>
      <c r="N165" s="1" t="str">
        <v>Монтаж дверного доводчика (входная дверь на лестничный марш).</v>
      </c>
    </row>
    <row r="166" spans="1:14" ht="28.5" customHeight="1">
      <c r="A166" s="172" t="str">
        <f t="shared" si="18"/>
        <v>Благоустройство придомовой территории (приобретение отсева на детскую площадку).</v>
      </c>
      <c r="B166" s="172"/>
      <c r="C166" s="172"/>
      <c r="D166" s="172"/>
      <c r="E166" s="172"/>
      <c r="F166" s="177">
        <f t="shared" si="19"/>
        <v>1738.83</v>
      </c>
      <c r="G166" s="177"/>
      <c r="H166" s="29" t="str">
        <f t="shared" si="16"/>
        <v>разово</v>
      </c>
      <c r="I166" s="173">
        <f t="shared" si="20"/>
        <v>1</v>
      </c>
      <c r="J166" s="173"/>
      <c r="M166" s="22" t="s">
        <v>72</v>
      </c>
      <c r="N166" s="1" t="str">
        <v>Благоустройство придомовой территории (приобретение отсева на детскую площадку).</v>
      </c>
    </row>
    <row r="167" spans="1:14" ht="28.5" customHeight="1">
      <c r="A167" s="172" t="str">
        <f t="shared" si="18"/>
        <v>Ремонт прибора учета тепловой энергии.</v>
      </c>
      <c r="B167" s="172"/>
      <c r="C167" s="172"/>
      <c r="D167" s="172"/>
      <c r="E167" s="172"/>
      <c r="F167" s="177">
        <f t="shared" si="19"/>
        <v>2453.34</v>
      </c>
      <c r="G167" s="177"/>
      <c r="H167" s="29" t="str">
        <f t="shared" si="16"/>
        <v>разово</v>
      </c>
      <c r="I167" s="173">
        <f t="shared" si="20"/>
        <v>1</v>
      </c>
      <c r="J167" s="173"/>
      <c r="M167" s="22" t="s">
        <v>72</v>
      </c>
      <c r="N167" s="1" t="str">
        <v>Ремонт прибора учета тепловой энергии.</v>
      </c>
    </row>
    <row r="168" spans="1:14" ht="28.5" customHeight="1">
      <c r="A168" s="172" t="str">
        <f t="shared" si="18"/>
        <v>Замена фланцевой вибровставки на главный трубопровод ГВС.</v>
      </c>
      <c r="B168" s="172"/>
      <c r="C168" s="172"/>
      <c r="D168" s="172"/>
      <c r="E168" s="172"/>
      <c r="F168" s="177">
        <f t="shared" si="19"/>
        <v>1003.33</v>
      </c>
      <c r="G168" s="177"/>
      <c r="H168" s="29" t="str">
        <f t="shared" si="16"/>
        <v>разово</v>
      </c>
      <c r="I168" s="173">
        <f t="shared" si="20"/>
        <v>1</v>
      </c>
      <c r="J168" s="173"/>
      <c r="M168" s="22" t="s">
        <v>72</v>
      </c>
      <c r="N168" s="1" t="str">
        <v>Замена фланцевой вибровставки на главный трубопровод ГВС.</v>
      </c>
    </row>
    <row r="169" spans="1:14" ht="28.5" customHeight="1">
      <c r="A169" s="172" t="str">
        <f t="shared" si="18"/>
        <v>Монтаж дополнительных камер системы видеонаблюдения (13 шт.)</v>
      </c>
      <c r="B169" s="172"/>
      <c r="C169" s="172"/>
      <c r="D169" s="172"/>
      <c r="E169" s="172"/>
      <c r="F169" s="177">
        <f t="shared" si="19"/>
        <v>235675</v>
      </c>
      <c r="G169" s="177"/>
      <c r="H169" s="29" t="str">
        <f t="shared" si="16"/>
        <v>разово</v>
      </c>
      <c r="I169" s="173">
        <f t="shared" si="20"/>
        <v>1</v>
      </c>
      <c r="J169" s="173"/>
      <c r="M169" s="22" t="s">
        <v>72</v>
      </c>
      <c r="N169" s="1" t="str">
        <v>Монтаж дополнительных камер системы видеонаблюдения (13 шт.)</v>
      </c>
    </row>
    <row r="170" spans="1:14" ht="28.5" customHeight="1">
      <c r="A170" s="172" t="str">
        <f t="shared" si="18"/>
        <v>Испытание пожарных кранов (30 шт.).</v>
      </c>
      <c r="B170" s="172"/>
      <c r="C170" s="172"/>
      <c r="D170" s="172"/>
      <c r="E170" s="172"/>
      <c r="F170" s="177">
        <f t="shared" si="19"/>
        <v>7500</v>
      </c>
      <c r="G170" s="177"/>
      <c r="H170" s="29" t="str">
        <f t="shared" si="16"/>
        <v>разово</v>
      </c>
      <c r="I170" s="173">
        <f t="shared" si="20"/>
        <v>1</v>
      </c>
      <c r="J170" s="173"/>
      <c r="M170" s="22" t="s">
        <v>72</v>
      </c>
      <c r="N170" s="1" t="str">
        <v>Испытание пожарных кранов (30 шт.).</v>
      </c>
    </row>
    <row r="171" spans="1:14" ht="28.5" customHeight="1">
      <c r="A171" s="172" t="str">
        <f t="shared" si="18"/>
        <v>Замена кнопки выхода системы домофон(лифтовой холл).</v>
      </c>
      <c r="B171" s="172"/>
      <c r="C171" s="172"/>
      <c r="D171" s="172"/>
      <c r="E171" s="172"/>
      <c r="F171" s="177">
        <f t="shared" si="19"/>
        <v>2000</v>
      </c>
      <c r="G171" s="177"/>
      <c r="H171" s="29" t="str">
        <f t="shared" si="16"/>
        <v>разово</v>
      </c>
      <c r="I171" s="173">
        <f t="shared" si="20"/>
        <v>1</v>
      </c>
      <c r="J171" s="173"/>
      <c r="M171" s="22" t="s">
        <v>72</v>
      </c>
      <c r="N171" s="1" t="str">
        <v>Замена кнопки выхода системы домофон(лифтовой холл).</v>
      </c>
    </row>
    <row r="172" spans="1:14" ht="28.5" customHeight="1">
      <c r="A172" s="172" t="str">
        <f t="shared" si="18"/>
        <v>Механизированная уборка и вывоз снега с придомовой территории.</v>
      </c>
      <c r="B172" s="172"/>
      <c r="C172" s="172"/>
      <c r="D172" s="172"/>
      <c r="E172" s="172"/>
      <c r="F172" s="177">
        <f t="shared" si="19"/>
        <v>23323.09</v>
      </c>
      <c r="G172" s="177"/>
      <c r="H172" s="29" t="str">
        <f t="shared" si="16"/>
        <v>разово</v>
      </c>
      <c r="I172" s="173">
        <f t="shared" si="20"/>
        <v>1</v>
      </c>
      <c r="J172" s="173"/>
      <c r="M172" s="22" t="s">
        <v>72</v>
      </c>
      <c r="N172" s="1" t="str">
        <v>Механизированная уборка и вывоз снега с придомовой территории.</v>
      </c>
    </row>
    <row r="173" spans="1:14" ht="28.5" customHeight="1">
      <c r="A173" s="172" t="str">
        <f t="shared" si="18"/>
        <v>Приобретение и монтаж ковровой дорожки.</v>
      </c>
      <c r="B173" s="172"/>
      <c r="C173" s="172"/>
      <c r="D173" s="172"/>
      <c r="E173" s="172"/>
      <c r="F173" s="177">
        <f t="shared" si="19"/>
        <v>7398</v>
      </c>
      <c r="G173" s="177"/>
      <c r="H173" s="29" t="str">
        <f t="shared" si="16"/>
        <v>разово</v>
      </c>
      <c r="I173" s="173">
        <f t="shared" si="20"/>
        <v>1</v>
      </c>
      <c r="J173" s="173"/>
      <c r="M173" s="22" t="s">
        <v>72</v>
      </c>
      <c r="N173" s="1" t="str">
        <v>Приобретение и монтаж ковровой дорожки.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7">
        <f t="shared" si="19"/>
        <v>0</v>
      </c>
      <c r="G174" s="177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7" t="s">
        <v>190</v>
      </c>
      <c r="B190" s="197"/>
      <c r="C190" s="197"/>
      <c r="D190" s="197"/>
      <c r="E190" s="27">
        <f>SUM(F158:G187)</f>
        <v>388594.48000000004</v>
      </c>
    </row>
    <row r="191" spans="1:14" ht="51.75" customHeight="1">
      <c r="A191" s="197" t="s">
        <v>189</v>
      </c>
      <c r="B191" s="197"/>
      <c r="C191" s="197"/>
      <c r="D191" s="197"/>
      <c r="E191" s="27">
        <f>E190+E154-E155</f>
        <v>-95025.54999999993</v>
      </c>
    </row>
    <row r="192" spans="1:14">
      <c r="A192" s="104" t="s">
        <v>174</v>
      </c>
    </row>
    <row r="193" spans="1:10" ht="62.25" customHeight="1">
      <c r="A193" s="171" t="s">
        <v>188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74</v>
      </c>
    </row>
    <row r="195" spans="1:10" ht="18.75" customHeight="1">
      <c r="A195" s="169" t="str">
        <f>ПТО!F13</f>
        <v xml:space="preserve">  -  техническое освидетельствование лифтов</v>
      </c>
      <c r="B195" s="169"/>
      <c r="C195" s="169"/>
      <c r="D195" s="169"/>
      <c r="E195" s="169"/>
      <c r="F195" s="169"/>
      <c r="G195" s="169"/>
      <c r="H195" s="49">
        <f>ПТО!G13</f>
        <v>16200</v>
      </c>
      <c r="I195" s="50" t="s">
        <v>74</v>
      </c>
    </row>
    <row r="196" spans="1:10" ht="18.75" customHeight="1">
      <c r="A196" s="169" t="str">
        <f>ПТО!F14</f>
        <v xml:space="preserve">  -  техническое обслуживание системы видеонаблюдения</v>
      </c>
      <c r="B196" s="169"/>
      <c r="C196" s="169"/>
      <c r="D196" s="169"/>
      <c r="E196" s="169"/>
      <c r="F196" s="169"/>
      <c r="G196" s="169"/>
      <c r="H196" s="49">
        <f>ПТО!G14</f>
        <v>20400</v>
      </c>
      <c r="I196" s="50" t="s">
        <v>74</v>
      </c>
    </row>
    <row r="197" spans="1:10" ht="18.75" customHeight="1">
      <c r="A197" s="169" t="str">
        <f>ПТО!F15</f>
        <v xml:space="preserve">  -  покраска (обновление) бордюров и разлиновка парковочных мест</v>
      </c>
      <c r="B197" s="169"/>
      <c r="C197" s="169"/>
      <c r="D197" s="169"/>
      <c r="E197" s="169"/>
      <c r="F197" s="169"/>
      <c r="G197" s="169"/>
      <c r="H197" s="49">
        <f>ПТО!G15</f>
        <v>9000</v>
      </c>
      <c r="I197" s="50" t="s">
        <v>74</v>
      </c>
    </row>
    <row r="198" spans="1:10" ht="18.75" customHeight="1">
      <c r="A198" s="169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69"/>
      <c r="C198" s="169"/>
      <c r="D198" s="169"/>
      <c r="E198" s="169"/>
      <c r="F198" s="169"/>
      <c r="G198" s="169"/>
      <c r="H198" s="49">
        <f>ПТО!G16</f>
        <v>12000</v>
      </c>
      <c r="I198" s="52" t="s">
        <v>74</v>
      </c>
    </row>
    <row r="199" spans="1:10" ht="18.75" customHeight="1">
      <c r="A199" s="169" t="str">
        <f>ПТО!F17</f>
        <v xml:space="preserve">  -  замена светильников в лифтовых холлах</v>
      </c>
      <c r="B199" s="169"/>
      <c r="C199" s="169"/>
      <c r="D199" s="169"/>
      <c r="E199" s="169"/>
      <c r="F199" s="169"/>
      <c r="G199" s="169"/>
      <c r="H199" s="49">
        <f>ПТО!G17</f>
        <v>25000</v>
      </c>
      <c r="I199" s="50" t="s">
        <v>74</v>
      </c>
    </row>
    <row r="200" spans="1:10">
      <c r="A200" s="169" t="str">
        <f>ПТО!F18</f>
        <v xml:space="preserve">  -  замена светильников на лестничном марше</v>
      </c>
      <c r="B200" s="169"/>
      <c r="C200" s="169"/>
      <c r="D200" s="169"/>
      <c r="E200" s="169"/>
      <c r="F200" s="169"/>
      <c r="G200" s="169"/>
      <c r="H200" s="49">
        <f>ПТО!G18</f>
        <v>20000</v>
      </c>
      <c r="I200" s="50" t="s">
        <v>74</v>
      </c>
    </row>
    <row r="201" spans="1:10">
      <c r="A201" s="169" t="str">
        <f>ПТО!F19</f>
        <v xml:space="preserve">  -  замена переходных дверей 1-го этажа (лестничный марш)</v>
      </c>
      <c r="B201" s="169"/>
      <c r="C201" s="169"/>
      <c r="D201" s="169"/>
      <c r="E201" s="169"/>
      <c r="F201" s="169"/>
      <c r="G201" s="169"/>
      <c r="H201" s="49">
        <f>ПТО!G19</f>
        <v>30000</v>
      </c>
      <c r="I201" s="50" t="s">
        <v>74</v>
      </c>
    </row>
    <row r="202" spans="1:10">
      <c r="A202" s="169" t="str">
        <f>ПТО!F20</f>
        <v xml:space="preserve">  -  устройство и покраска бетонного пола в машинном отделении лифта.</v>
      </c>
      <c r="B202" s="169"/>
      <c r="C202" s="169"/>
      <c r="D202" s="169"/>
      <c r="E202" s="169"/>
      <c r="F202" s="169"/>
      <c r="G202" s="169"/>
      <c r="H202" s="49">
        <f>ПТО!G20</f>
        <v>1000</v>
      </c>
      <c r="I202" s="50" t="s">
        <v>74</v>
      </c>
    </row>
    <row r="203" spans="1:10">
      <c r="A203" s="169" t="str">
        <f>ПТО!F21</f>
        <v xml:space="preserve"> -  изготовление, монтаж металлических панелей для закрытия сесьмопоясов МКД</v>
      </c>
      <c r="B203" s="169"/>
      <c r="C203" s="169"/>
      <c r="D203" s="169"/>
      <c r="E203" s="169"/>
      <c r="F203" s="169"/>
      <c r="G203" s="169"/>
      <c r="H203" s="49">
        <f>ПТО!G21</f>
        <v>200000</v>
      </c>
      <c r="I203" s="50" t="s">
        <v>74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9">
        <f>ПТО!G22</f>
        <v>0</v>
      </c>
      <c r="I204" s="50" t="s">
        <v>74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9">
        <f>ПТО!G23</f>
        <v>0</v>
      </c>
      <c r="I205" s="50" t="s">
        <v>74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74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74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74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74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74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74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74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334800</v>
      </c>
      <c r="I214" s="56" t="s">
        <v>77</v>
      </c>
    </row>
  </sheetData>
  <sheetProtection algorithmName="SHA-512" hashValue="b27TzCVaBaAKV83aIxSm8IeeugdhW7ZhtbrDiwtX5VChZrv9J7kRmoue4DYUFMiqThdNP1/ba0uPp7kqw0STLg==" saltValue="lRzS5rs705q6mRGu/kOlu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8" workbookViewId="0">
      <selection activeCell="F21" sqref="F2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-121364.03</f>
        <v>-121364.03</v>
      </c>
    </row>
    <row r="2" spans="1:12" ht="18.75" customHeight="1">
      <c r="A2" s="160" t="s">
        <v>178</v>
      </c>
      <c r="B2" s="119" t="s">
        <v>179</v>
      </c>
      <c r="C2" s="119">
        <v>2</v>
      </c>
      <c r="D2" s="120">
        <v>16200</v>
      </c>
      <c r="E2" s="136" t="s">
        <v>216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1" t="s">
        <v>186</v>
      </c>
      <c r="B3" s="118" t="s">
        <v>180</v>
      </c>
      <c r="C3" s="118">
        <v>12</v>
      </c>
      <c r="D3" s="121">
        <f>1700*12</f>
        <v>20400</v>
      </c>
      <c r="E3" s="136" t="s">
        <v>217</v>
      </c>
      <c r="F3" s="30"/>
      <c r="G3" s="30"/>
      <c r="L3" s="33" t="str">
        <f t="shared" si="0"/>
        <v>ТР</v>
      </c>
    </row>
    <row r="4" spans="1:12" ht="30.75" customHeight="1">
      <c r="A4" s="138" t="s">
        <v>193</v>
      </c>
      <c r="B4" s="139" t="s">
        <v>194</v>
      </c>
      <c r="C4" s="134">
        <v>1</v>
      </c>
      <c r="D4" s="135">
        <v>64681</v>
      </c>
      <c r="E4" s="140" t="s">
        <v>195</v>
      </c>
      <c r="F4" s="30"/>
      <c r="G4" s="30"/>
      <c r="L4" s="33" t="str">
        <f t="shared" si="0"/>
        <v>ТР</v>
      </c>
    </row>
    <row r="5" spans="1:12" ht="18.75" customHeight="1">
      <c r="A5" s="141" t="s">
        <v>196</v>
      </c>
      <c r="B5" s="142" t="s">
        <v>194</v>
      </c>
      <c r="C5" s="118">
        <v>1</v>
      </c>
      <c r="D5" s="121">
        <v>1950</v>
      </c>
      <c r="E5" s="136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43" t="s">
        <v>198</v>
      </c>
      <c r="B6" s="144" t="s">
        <v>194</v>
      </c>
      <c r="C6" s="118">
        <v>1</v>
      </c>
      <c r="D6" s="120">
        <v>236.11</v>
      </c>
      <c r="E6" s="122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201</v>
      </c>
      <c r="B7" s="147" t="s">
        <v>194</v>
      </c>
      <c r="C7" s="118">
        <v>1</v>
      </c>
      <c r="D7" s="120">
        <v>300</v>
      </c>
      <c r="E7" s="122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46" t="s">
        <v>204</v>
      </c>
      <c r="B8" s="145" t="s">
        <v>194</v>
      </c>
      <c r="C8" s="118">
        <v>1</v>
      </c>
      <c r="D8" s="120">
        <v>2135.7800000000002</v>
      </c>
      <c r="E8" s="122" t="s">
        <v>200</v>
      </c>
      <c r="F8" s="45"/>
      <c r="G8" s="45"/>
      <c r="K8" s="43"/>
      <c r="L8" s="33" t="str">
        <f t="shared" si="0"/>
        <v>ТР</v>
      </c>
    </row>
    <row r="9" spans="1:12">
      <c r="A9" s="146" t="s">
        <v>203</v>
      </c>
      <c r="B9" s="128" t="s">
        <v>194</v>
      </c>
      <c r="C9" s="132">
        <v>1</v>
      </c>
      <c r="D9" s="133">
        <v>1600</v>
      </c>
      <c r="E9" s="122" t="s">
        <v>205</v>
      </c>
      <c r="F9" s="44"/>
      <c r="G9" s="44"/>
      <c r="K9" s="43"/>
      <c r="L9" s="33" t="str">
        <f t="shared" si="0"/>
        <v>ТР</v>
      </c>
    </row>
    <row r="10" spans="1:12">
      <c r="A10" s="148" t="s">
        <v>206</v>
      </c>
      <c r="B10" s="149" t="s">
        <v>194</v>
      </c>
      <c r="C10" s="150">
        <v>1</v>
      </c>
      <c r="D10" s="151">
        <v>1738.83</v>
      </c>
      <c r="E10" s="122" t="s">
        <v>210</v>
      </c>
      <c r="L10" s="33" t="str">
        <f t="shared" si="0"/>
        <v>ТР</v>
      </c>
    </row>
    <row r="11" spans="1:12" ht="94.5">
      <c r="A11" s="152" t="s">
        <v>207</v>
      </c>
      <c r="B11" s="153" t="s">
        <v>194</v>
      </c>
      <c r="C11" s="154">
        <v>1</v>
      </c>
      <c r="D11" s="120">
        <v>2453.34</v>
      </c>
      <c r="E11" s="122" t="s">
        <v>211</v>
      </c>
      <c r="F11" s="111" t="s">
        <v>188</v>
      </c>
      <c r="G11" s="111"/>
      <c r="L11" s="33" t="str">
        <f t="shared" si="0"/>
        <v>ТР</v>
      </c>
    </row>
    <row r="12" spans="1:12" ht="31.5">
      <c r="A12" s="155" t="s">
        <v>212</v>
      </c>
      <c r="B12" s="156" t="s">
        <v>194</v>
      </c>
      <c r="C12" s="119">
        <v>1</v>
      </c>
      <c r="D12" s="120">
        <v>1003.33</v>
      </c>
      <c r="E12" s="124" t="s">
        <v>213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7" t="s">
        <v>208</v>
      </c>
      <c r="B13" s="156" t="s">
        <v>194</v>
      </c>
      <c r="C13" s="119">
        <v>1</v>
      </c>
      <c r="D13" s="120">
        <v>235675</v>
      </c>
      <c r="E13" s="124" t="s">
        <v>214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58" t="s">
        <v>209</v>
      </c>
      <c r="B14" s="159" t="s">
        <v>194</v>
      </c>
      <c r="C14" s="118">
        <v>1</v>
      </c>
      <c r="D14" s="120">
        <v>7500</v>
      </c>
      <c r="E14" s="122" t="s">
        <v>215</v>
      </c>
      <c r="F14" s="112" t="s">
        <v>75</v>
      </c>
      <c r="G14" s="114">
        <v>20400</v>
      </c>
      <c r="L14" s="33" t="str">
        <f t="shared" si="0"/>
        <v>ТР</v>
      </c>
    </row>
    <row r="15" spans="1:12" ht="31.5">
      <c r="A15" s="155" t="s">
        <v>218</v>
      </c>
      <c r="B15" s="162" t="s">
        <v>194</v>
      </c>
      <c r="C15" s="118">
        <v>1</v>
      </c>
      <c r="D15" s="120">
        <v>2000</v>
      </c>
      <c r="E15" s="122" t="s">
        <v>219</v>
      </c>
      <c r="F15" s="112" t="s">
        <v>183</v>
      </c>
      <c r="G15" s="113">
        <v>9000</v>
      </c>
      <c r="L15" s="33" t="str">
        <f t="shared" si="0"/>
        <v>ТР</v>
      </c>
    </row>
    <row r="16" spans="1:12" ht="63">
      <c r="A16" s="163" t="s">
        <v>220</v>
      </c>
      <c r="B16" s="162" t="s">
        <v>194</v>
      </c>
      <c r="C16" s="119">
        <v>1</v>
      </c>
      <c r="D16" s="120">
        <v>23323.09</v>
      </c>
      <c r="E16" s="124" t="s">
        <v>221</v>
      </c>
      <c r="F16" s="112" t="s">
        <v>184</v>
      </c>
      <c r="G16" s="113">
        <v>12000</v>
      </c>
      <c r="L16" s="33" t="str">
        <f t="shared" si="0"/>
        <v>ТР</v>
      </c>
    </row>
    <row r="17" spans="1:12" ht="31.5">
      <c r="A17" s="137" t="s">
        <v>222</v>
      </c>
      <c r="B17" s="164" t="s">
        <v>194</v>
      </c>
      <c r="C17" s="119">
        <v>1</v>
      </c>
      <c r="D17" s="120">
        <v>7398</v>
      </c>
      <c r="E17" s="124" t="s">
        <v>223</v>
      </c>
      <c r="F17" s="112" t="s">
        <v>232</v>
      </c>
      <c r="G17" s="113">
        <v>25000</v>
      </c>
      <c r="L17" s="33" t="str">
        <f t="shared" si="0"/>
        <v>ТР</v>
      </c>
    </row>
    <row r="18" spans="1:12" ht="31.5">
      <c r="A18" s="30"/>
      <c r="B18" s="118"/>
      <c r="C18" s="119"/>
      <c r="D18" s="120"/>
      <c r="E18" s="125"/>
      <c r="F18" s="112" t="s">
        <v>187</v>
      </c>
      <c r="G18" s="113">
        <v>20000</v>
      </c>
      <c r="L18" s="33">
        <f t="shared" si="0"/>
        <v>0</v>
      </c>
    </row>
    <row r="19" spans="1:12" ht="31.5">
      <c r="A19" s="131"/>
      <c r="B19" s="118"/>
      <c r="C19" s="119"/>
      <c r="D19" s="120"/>
      <c r="E19" s="124"/>
      <c r="F19" s="112" t="s">
        <v>233</v>
      </c>
      <c r="G19" s="113">
        <v>30000</v>
      </c>
      <c r="L19" s="33">
        <f t="shared" si="0"/>
        <v>0</v>
      </c>
    </row>
    <row r="20" spans="1:12" ht="31.5">
      <c r="A20" s="126"/>
      <c r="B20" s="118"/>
      <c r="C20" s="119"/>
      <c r="D20" s="123"/>
      <c r="E20" s="125"/>
      <c r="F20" s="112" t="s">
        <v>234</v>
      </c>
      <c r="G20" s="113">
        <v>1000</v>
      </c>
      <c r="L20" s="33">
        <f t="shared" si="0"/>
        <v>0</v>
      </c>
    </row>
    <row r="21" spans="1:12" ht="47.25">
      <c r="A21" s="126"/>
      <c r="B21" s="118"/>
      <c r="C21" s="119"/>
      <c r="D21" s="123"/>
      <c r="E21" s="122"/>
      <c r="F21" s="112" t="s">
        <v>235</v>
      </c>
      <c r="G21" s="113">
        <v>200000</v>
      </c>
      <c r="L21" s="33">
        <f t="shared" si="0"/>
        <v>0</v>
      </c>
    </row>
    <row r="22" spans="1:12" ht="15.75">
      <c r="A22" s="126"/>
      <c r="B22" s="118"/>
      <c r="C22" s="119"/>
      <c r="D22" s="123"/>
      <c r="E22" s="122"/>
      <c r="F22" s="112"/>
      <c r="G22" s="113"/>
      <c r="L22" s="33">
        <f t="shared" si="0"/>
        <v>0</v>
      </c>
    </row>
    <row r="23" spans="1:12" ht="15.75">
      <c r="A23" s="131"/>
      <c r="B23" s="118"/>
      <c r="C23" s="119"/>
      <c r="D23" s="120"/>
      <c r="E23" s="124"/>
      <c r="F23" s="112"/>
      <c r="G23" s="113"/>
      <c r="L23" s="33">
        <f t="shared" ref="L23:L31" si="1">IF(A23&gt;0,"ТР",0)</f>
        <v>0</v>
      </c>
    </row>
    <row r="24" spans="1:12" ht="15.75">
      <c r="A24" s="127"/>
      <c r="B24" s="118"/>
      <c r="C24" s="128"/>
      <c r="D24" s="120"/>
      <c r="E24" s="125"/>
      <c r="F24" s="112"/>
      <c r="G24" s="113"/>
      <c r="L24" s="33">
        <f t="shared" si="1"/>
        <v>0</v>
      </c>
    </row>
    <row r="25" spans="1:12" ht="15.75">
      <c r="F25" s="129"/>
      <c r="G25" s="130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556968.6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556968.6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169354.68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169354.68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79696.320000000007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79696.320000000007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108676.8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108676.8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70639.92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70639.92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201052.08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201052.08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452820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452820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224</v>
      </c>
      <c r="B47" s="165">
        <f>(E47*G53*F55*6+E47*G53*G55*6)+(F47*G59*F61*6+F47*G59*G61*6)+(F47*G63*F65*6+F47*G63*G65*6)</f>
        <v>148701.57795000001</v>
      </c>
      <c r="C47" s="166" t="s">
        <v>68</v>
      </c>
      <c r="D47" s="48">
        <v>12</v>
      </c>
      <c r="E47" s="165">
        <v>2008.8</v>
      </c>
      <c r="F47" s="165">
        <v>1440.9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148701.57795000001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7"/>
      <c r="C48" s="166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8" t="s">
        <v>225</v>
      </c>
      <c r="F52" s="168" t="s">
        <v>226</v>
      </c>
      <c r="G52" s="168" t="s">
        <v>227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8">
        <v>35.896999999999998</v>
      </c>
      <c r="F53" s="165">
        <v>7547</v>
      </c>
      <c r="G53" s="168">
        <v>3.83</v>
      </c>
      <c r="H53" s="168">
        <f>G53*E47/F53</f>
        <v>1.0194387173711408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8"/>
      <c r="F54" s="168" t="s">
        <v>228</v>
      </c>
      <c r="G54" s="168" t="s">
        <v>229</v>
      </c>
      <c r="H54" s="168">
        <f>H53*G56</f>
        <v>71.36071021597985</v>
      </c>
    </row>
    <row r="55" spans="5:16">
      <c r="E55" s="168"/>
      <c r="F55" s="168">
        <v>1.17</v>
      </c>
      <c r="G55" s="168">
        <v>1.23</v>
      </c>
      <c r="H55" s="168"/>
    </row>
    <row r="56" spans="5:16">
      <c r="E56" s="168"/>
      <c r="F56" s="168"/>
      <c r="G56" s="168">
        <v>70</v>
      </c>
      <c r="H56" s="168"/>
    </row>
    <row r="57" spans="5:16">
      <c r="E57" s="168"/>
      <c r="F57" s="168"/>
      <c r="G57" s="168"/>
      <c r="H57" s="168"/>
    </row>
    <row r="58" spans="5:16">
      <c r="E58" s="168" t="s">
        <v>230</v>
      </c>
      <c r="F58" s="168"/>
      <c r="G58" s="168"/>
      <c r="H58" s="168"/>
    </row>
    <row r="59" spans="5:16">
      <c r="E59" s="168">
        <v>0.59599999999999997</v>
      </c>
      <c r="F59" s="165">
        <f>F53</f>
        <v>7547</v>
      </c>
      <c r="G59" s="168">
        <v>7.4999999999999997E-2</v>
      </c>
      <c r="H59" s="168">
        <f>G59*F47</f>
        <v>108.06750000000001</v>
      </c>
    </row>
    <row r="60" spans="5:16">
      <c r="E60" s="168"/>
      <c r="F60" s="168" t="s">
        <v>228</v>
      </c>
      <c r="G60" s="168" t="s">
        <v>229</v>
      </c>
      <c r="H60" s="168">
        <f>H59/F59</f>
        <v>1.4319265933483505E-2</v>
      </c>
    </row>
    <row r="61" spans="5:16">
      <c r="E61" s="168"/>
      <c r="F61" s="168">
        <v>12.94</v>
      </c>
      <c r="G61" s="168">
        <v>13.45</v>
      </c>
      <c r="H61" s="168">
        <f>H60*G56</f>
        <v>1.0023486153438455</v>
      </c>
    </row>
    <row r="62" spans="5:16">
      <c r="E62" s="168" t="s">
        <v>231</v>
      </c>
      <c r="F62" s="168"/>
      <c r="G62" s="168"/>
      <c r="H62" s="168"/>
    </row>
    <row r="63" spans="5:16">
      <c r="E63" s="168">
        <v>0.59599999999999997</v>
      </c>
      <c r="F63" s="165">
        <f>F53</f>
        <v>7547</v>
      </c>
      <c r="G63" s="168">
        <v>7.4999999999999997E-2</v>
      </c>
      <c r="H63" s="168">
        <f>G63*F47</f>
        <v>108.06750000000001</v>
      </c>
    </row>
    <row r="64" spans="5:16">
      <c r="E64" s="168"/>
      <c r="F64" s="168" t="s">
        <v>228</v>
      </c>
      <c r="G64" s="168" t="s">
        <v>229</v>
      </c>
      <c r="H64" s="168">
        <f>H63/F63</f>
        <v>1.4319265933483505E-2</v>
      </c>
    </row>
    <row r="65" spans="4:13" ht="18.75" customHeight="1">
      <c r="E65" s="168"/>
      <c r="F65" s="168">
        <v>15.73</v>
      </c>
      <c r="G65" s="168">
        <v>16.350000000000001</v>
      </c>
      <c r="H65" s="168">
        <f>H64*G56</f>
        <v>1.0023486153438455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7547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1562514.41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2342839.83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1614249.77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362256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366334.06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1984894.84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1984894.84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1984894.84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1920459.4000000001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0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0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0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0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9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9"/>
      <c r="N26" s="63"/>
    </row>
    <row r="27" spans="1:15" ht="18.75" customHeight="1">
      <c r="A27" s="70" t="s">
        <v>105</v>
      </c>
      <c r="B27" s="75" t="s">
        <v>4</v>
      </c>
      <c r="C27" s="86">
        <v>216145.06</v>
      </c>
      <c r="D27" s="81" t="s">
        <v>60</v>
      </c>
      <c r="E27" s="64"/>
      <c r="F27" s="64"/>
      <c r="G27" s="64"/>
      <c r="H27" s="64"/>
      <c r="I27" s="64"/>
      <c r="J27" s="64"/>
      <c r="M27" s="199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9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9"/>
      <c r="N29" s="63"/>
    </row>
    <row r="30" spans="1:15" ht="18.75" customHeight="1">
      <c r="A30" s="70" t="s">
        <v>108</v>
      </c>
      <c r="B30" s="75" t="s">
        <v>18</v>
      </c>
      <c r="C30" s="86">
        <v>235746.68</v>
      </c>
      <c r="D30" s="81" t="s">
        <v>66</v>
      </c>
      <c r="E30" s="64"/>
      <c r="F30" s="64"/>
      <c r="G30" s="64"/>
      <c r="H30" s="64"/>
      <c r="I30" s="64"/>
      <c r="J30" s="64"/>
      <c r="M30" s="199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9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9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9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9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486932.26</v>
      </c>
      <c r="F37" s="94" t="s">
        <v>167</v>
      </c>
      <c r="G37" s="66"/>
      <c r="H37" s="66"/>
      <c r="I37" s="66"/>
      <c r="L37" s="63"/>
      <c r="M37" s="198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405776.88</v>
      </c>
      <c r="D38" s="94" t="s">
        <v>165</v>
      </c>
      <c r="E38" s="68"/>
      <c r="G38" s="67"/>
      <c r="H38" s="67"/>
      <c r="L38" s="63"/>
      <c r="M38" s="198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479419.97</v>
      </c>
      <c r="D39" s="94" t="s">
        <v>166</v>
      </c>
      <c r="E39" s="68"/>
      <c r="G39" s="67"/>
      <c r="H39" s="67"/>
      <c r="L39" s="63"/>
      <c r="M39" s="198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7512.2900000000373</v>
      </c>
      <c r="D40" s="80" t="s">
        <v>59</v>
      </c>
      <c r="E40" s="68"/>
      <c r="G40" s="67"/>
      <c r="H40" s="67"/>
      <c r="L40" s="63"/>
      <c r="M40" s="198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486932.26</v>
      </c>
      <c r="D41" s="80" t="s">
        <v>59</v>
      </c>
      <c r="E41" s="68"/>
      <c r="G41" s="67"/>
      <c r="H41" s="67"/>
      <c r="L41" s="63"/>
      <c r="M41" s="198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486932.26</v>
      </c>
      <c r="D42" s="80" t="s">
        <v>59</v>
      </c>
      <c r="E42" s="68"/>
      <c r="G42" s="67"/>
      <c r="H42" s="67"/>
      <c r="L42" s="63"/>
      <c r="M42" s="198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8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8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162365.71</v>
      </c>
      <c r="F45" s="94" t="s">
        <v>167</v>
      </c>
      <c r="G45" s="66"/>
      <c r="H45" s="66"/>
      <c r="L45" s="63"/>
      <c r="M45" s="198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12300.43</v>
      </c>
      <c r="D46" s="94" t="s">
        <v>168</v>
      </c>
      <c r="E46" s="68"/>
      <c r="G46" s="67"/>
      <c r="H46" s="67"/>
      <c r="L46" s="63"/>
      <c r="M46" s="198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155394.34</v>
      </c>
      <c r="D47" s="94" t="s">
        <v>166</v>
      </c>
      <c r="E47" s="68"/>
      <c r="G47" s="67"/>
      <c r="H47" s="67"/>
      <c r="L47" s="63"/>
      <c r="M47" s="198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6971.3699999999953</v>
      </c>
      <c r="D48" s="80" t="s">
        <v>59</v>
      </c>
      <c r="E48" s="68"/>
      <c r="G48" s="67"/>
      <c r="H48" s="67"/>
      <c r="L48" s="63"/>
      <c r="M48" s="198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162365.71</v>
      </c>
      <c r="D49" s="80" t="s">
        <v>59</v>
      </c>
      <c r="E49" s="68"/>
      <c r="G49" s="67"/>
      <c r="H49" s="67"/>
      <c r="L49" s="63"/>
      <c r="M49" s="198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162365.71</v>
      </c>
      <c r="D50" s="80" t="s">
        <v>59</v>
      </c>
      <c r="E50" s="68"/>
      <c r="G50" s="67"/>
      <c r="H50" s="67"/>
      <c r="L50" s="63"/>
      <c r="M50" s="198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8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8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294580.90000000002</v>
      </c>
      <c r="F53" s="94" t="s">
        <v>167</v>
      </c>
      <c r="G53" s="66"/>
      <c r="H53" s="66"/>
      <c r="L53" s="63"/>
      <c r="M53" s="198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18365.39</v>
      </c>
      <c r="D54" s="94" t="s">
        <v>168</v>
      </c>
      <c r="E54" s="69"/>
      <c r="F54" s="89"/>
      <c r="G54" s="64"/>
      <c r="H54" s="64"/>
      <c r="L54" s="63"/>
      <c r="M54" s="198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282089.11</v>
      </c>
      <c r="D55" s="94" t="s">
        <v>166</v>
      </c>
      <c r="E55" s="69"/>
      <c r="G55" s="64"/>
      <c r="H55" s="64"/>
      <c r="L55" s="63"/>
      <c r="M55" s="198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12491.790000000037</v>
      </c>
      <c r="D56" s="80" t="s">
        <v>59</v>
      </c>
      <c r="E56" s="69"/>
      <c r="G56" s="64"/>
      <c r="H56" s="64"/>
      <c r="L56" s="63"/>
      <c r="M56" s="198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294580.90000000002</v>
      </c>
      <c r="D57" s="80" t="s">
        <v>59</v>
      </c>
      <c r="E57" s="69"/>
      <c r="G57" s="64"/>
      <c r="H57" s="64"/>
      <c r="L57" s="63"/>
      <c r="M57" s="198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294580.90000000002</v>
      </c>
      <c r="D58" s="80" t="s">
        <v>59</v>
      </c>
      <c r="E58" s="69"/>
      <c r="G58" s="64"/>
      <c r="H58" s="64"/>
      <c r="L58" s="63"/>
      <c r="M58" s="198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8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348902.92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648.69000000000005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352361.68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348902.92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348902.92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75469.570000000007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5717.39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79384.639999999999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75469.570000000007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75469.570000000007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214581.16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2022-03-28T07:25:07Z</dcterms:modified>
</cp:coreProperties>
</file>