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7" i="2" l="1"/>
  <c r="C7" i="3" l="1"/>
  <c r="G1" i="2" l="1"/>
  <c r="D4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A95" i="1"/>
  <c r="G94" i="1"/>
  <c r="D94" i="1"/>
  <c r="A94" i="1"/>
  <c r="K94" i="1"/>
  <c r="A113" i="1" l="1"/>
  <c r="A119" i="1"/>
  <c r="A123" i="1"/>
  <c r="A118" i="1"/>
  <c r="A114" i="1"/>
  <c r="F110" i="1"/>
  <c r="A117" i="1"/>
  <c r="F94" i="1"/>
  <c r="A97" i="1"/>
  <c r="A101" i="1"/>
  <c r="A98" i="1"/>
  <c r="D118" i="1"/>
  <c r="A124" i="1"/>
  <c r="A111" i="1"/>
  <c r="A121" i="1"/>
  <c r="A125" i="1"/>
  <c r="A120" i="1"/>
  <c r="A110" i="1"/>
  <c r="A115" i="1"/>
  <c r="F118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F184" i="1"/>
  <c r="H184" i="1"/>
  <c r="F176" i="1"/>
  <c r="H174" i="1"/>
  <c r="H173" i="1"/>
  <c r="F168" i="1"/>
  <c r="H168" i="1"/>
  <c r="H167" i="1"/>
  <c r="H166" i="1"/>
  <c r="F178" i="1"/>
  <c r="H165" i="1"/>
  <c r="F172" i="1"/>
  <c r="F164" i="1"/>
  <c r="H172" i="1"/>
  <c r="H178" i="1"/>
  <c r="F180" i="1"/>
  <c r="F187" i="1"/>
  <c r="F170" i="1"/>
  <c r="F171" i="1"/>
  <c r="H171" i="1"/>
  <c r="H185" i="1"/>
  <c r="H183" i="1"/>
  <c r="H186" i="1"/>
  <c r="F185" i="1"/>
  <c r="F179" i="1"/>
  <c r="H169" i="1"/>
  <c r="F169" i="1"/>
  <c r="F165" i="1"/>
  <c r="H187" i="1"/>
  <c r="H179" i="1"/>
  <c r="H180" i="1"/>
  <c r="H164" i="1"/>
  <c r="H170" i="1"/>
  <c r="F183" i="1"/>
  <c r="H177" i="1"/>
  <c r="F182" i="1"/>
  <c r="F173" i="1"/>
  <c r="H176" i="1"/>
  <c r="F166" i="1"/>
  <c r="F175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<sst xmlns="http://schemas.openxmlformats.org/spreadsheetml/2006/main" count="574" uniqueCount="219">
  <si>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</si>
  <si>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</si>
  <si>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</si>
  <si>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</si>
  <si>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</si>
  <si>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</si>
  <si>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</si>
  <si>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</si>
  <si>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</si>
  <si>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</si>
  <si>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</si>
  <si>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</si>
  <si>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</si>
  <si>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</si>
  <si>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</si>
  <si>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</si>
  <si>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</si>
  <si>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</si>
  <si>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</si>
  <si>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</si>
  <si>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</si>
  <si>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</si>
  <si>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</si>
  <si>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</si>
  <si>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</si>
  <si>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</si>
  <si>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</si>
  <si>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</si>
  <si>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</si>
  <si>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</si>
  <si>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</si>
  <si>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</si>
  <si>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</si>
  <si>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</si>
  <si>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</si>
  <si>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</si>
  <si>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</si>
  <si>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</si>
  <si>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</si>
  <si>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</si>
  <si>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</si>
  <si>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</si>
  <si>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</si>
  <si>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</si>
  <si>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</si>
  <si>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</si>
  <si>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</si>
  <si>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</si>
  <si>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</si>
  <si>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</si>
  <si>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</si>
  <si>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</si>
  <si>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</si>
  <si>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</si>
  <si>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</si>
  <si>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</si>
  <si>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</si>
  <si>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</si>
  <si>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</si>
  <si>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</si>
  <si>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</si>
  <si>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</si>
  <si>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</si>
  <si>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</si>
  <si>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</si>
  <si>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</si>
  <si>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</si>
  <si>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</si>
  <si>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</si>
  <si>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</si>
  <si>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</si>
  <si>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</si>
  <si>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</si>
  <si>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</si>
  <si>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</si>
  <si>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</si>
  <si>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</si>
  <si>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</si>
  <si>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</si>
  <si>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</si>
  <si>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</si>
  <si>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</si>
  <si>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</si>
  <si>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</si>
  <si>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</si>
  <si>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</si>
  <si>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</si>
  <si>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</si>
  <si>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</si>
  <si>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</si>
  <si>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</si>
  <si>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</si>
  <si>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</si>
  <si>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</si>
  <si>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</si>
  <si>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</si>
  <si>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</si>
  <si>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</si>
  <si>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</si>
  <si>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</si>
  <si>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</si>
  <si>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</si>
  <si>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</si>
  <si>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</si>
  <si>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</si>
  <si>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</si>
  <si>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</si>
  <si>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</si>
  <si>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</si>
  <si>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</si>
  <si>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</si>
  <si>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</si>
  <si>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</si>
  <si>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</si>
  <si>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</si>
  <si>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</si>
  <si>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</si>
  <si>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</si>
  <si>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</si>
  <si>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</si>
  <si>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</si>
  <si>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</si>
  <si>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</si>
  <si>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</si>
  <si>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</si>
  <si>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</si>
  <si>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</si>
  <si>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</si>
  <si>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</si>
  <si>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</si>
  <si>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</si>
  <si>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</si>
  <si>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</si>
  <si>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</si>
  <si>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</si>
  <si>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</si>
  <si>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</si>
  <si>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</si>
  <si>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</si>
  <si>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</si>
  <si>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</si>
  <si>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</si>
  <si>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</si>
  <si>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</si>
  <si>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</si>
  <si>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</si>
  <si>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</si>
  <si>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</si>
  <si>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</si>
  <si>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</si>
  <si>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</si>
  <si>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</si>
  <si>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</si>
  <si>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</si>
  <si>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</si>
  <si>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</si>
  <si>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</si>
  <si>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</si>
  <si>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</si>
  <si>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</si>
  <si>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</si>
  <si>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</si>
  <si>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</si>
  <si>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</si>
  <si>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</si>
  <si>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</si>
  <si>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</si>
  <si>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</si>
  <si>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</si>
  <si>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</si>
  <si>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</si>
  <si>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</si>
  <si>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</si>
  <si>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</si>
  <si>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</si>
  <si>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</si>
  <si>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311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</si>
  <si>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</si>
  <si>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</si>
  <si>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</si>
  <si>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</si>
  <si>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</si>
  <si>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Техническое освидетельствование лифтов.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</si>
  <si>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</si>
  <si>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</si>
  <si>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-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</si>
  <si>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</si>
  <si>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</si>
  <si>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</si>
  <si>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-  ремонт асфальтного покрытия (трещины, ямы)  специализированной организацией</t>
  </si>
  <si>
    <t>Отчет об исполнении договора управления многоквартирного дома 
Байкальская, 311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</si>
  <si>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</si>
  <si>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</si>
  <si>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</si>
  <si>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</si>
  <si>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</si>
  <si>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Начало отчетного периода</t>
  </si>
  <si>
    <t>Приобретение и установка таблички по пожарной безопасности.</t>
  </si>
  <si>
    <t>разово</t>
  </si>
  <si>
    <t>Приобретение новогодней гирлянды.</t>
  </si>
  <si>
    <t>АВР 1/20 от 30.01.2020, счет №In/O-0180172 от 27.11.2019</t>
  </si>
  <si>
    <t>Ремонт прибора учета тепловой энергии.</t>
  </si>
  <si>
    <t>АВР 2/20 от 24.03.2020, счет от 12.03.2020</t>
  </si>
  <si>
    <t>АВР 3/20 от 11.06.2020, счет №112 от 22.04.2020</t>
  </si>
  <si>
    <t>АВР 4/20 от 28.07.2020, Решение</t>
  </si>
  <si>
    <t>Изготовление и монтаж металлического ограждения.</t>
  </si>
  <si>
    <t>АВР 5/20 от 04.08.2020, Решение</t>
  </si>
  <si>
    <t>Ремонт подъезда (цокольный и 1-ый этажи).</t>
  </si>
  <si>
    <t>Испытание ограждений кровли крыши.</t>
  </si>
  <si>
    <t>АВР 6/20 от 24.09.2020, Решение, счет от 21.08.2020</t>
  </si>
  <si>
    <t>Испытание пожарных кранов и перекатка пожарных рукавов.</t>
  </si>
  <si>
    <t>АВР 7/20 от 29.12.2020, счет №1737 от 03.08.2020</t>
  </si>
  <si>
    <t>АВР 8/20 от 29.12.2020, счет №1740 от 03.08.2020</t>
  </si>
  <si>
    <t>АВР 9/20 от 29.12.2020, счет №1749 от 03.08.2020</t>
  </si>
  <si>
    <t>АВР 10/20 от 29.12.2020</t>
  </si>
  <si>
    <t>АВР 11/20 от 29.12.2020</t>
  </si>
  <si>
    <t>АВР 12/20 от 29.12.2020</t>
  </si>
  <si>
    <t>Приобретение и установка пожарных рукавов и стволов (16 шт.)</t>
  </si>
  <si>
    <t>Замена светильников на лестничном марше.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</si>
</sst>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14" fillId="0" borderId="0" xfId="6" applyNumberFormat="1" applyFill="1" applyBorder="1" applyAlignment="1"/>
    <xf numFmtId="0" fontId="14" fillId="0" borderId="0" xfId="5" applyFill="1" applyBorder="1" applyAlignment="1"/>
    <xf numFmtId="0" fontId="38" fillId="0" borderId="0" xfId="5" applyFont="1" applyFill="1" applyBorder="1" applyAlignment="1"/>
    <xf numFmtId="0" fontId="14" fillId="0" borderId="0" xfId="6" applyFill="1" applyBorder="1" applyAlignment="1">
      <alignment horizontal="center"/>
    </xf>
    <xf numFmtId="0" fontId="28" fillId="0" borderId="0" xfId="6" applyFont="1" applyFill="1" applyBorder="1" applyAlignment="1">
      <alignment horizontal="center"/>
    </xf>
    <xf numFmtId="4" fontId="28" fillId="0" borderId="0" xfId="6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3" fillId="0" borderId="0" xfId="1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0" fillId="0" borderId="0" xfId="0" applyFill="1"/>
    <xf numFmtId="4" fontId="28" fillId="0" borderId="0" xfId="0" applyNumberFormat="1" applyFont="1" applyFill="1" applyBorder="1" applyAlignment="1"/>
    <xf numFmtId="0" fontId="0" fillId="0" borderId="0" xfId="0" applyFill="1" applyBorder="1" applyAlignment="1"/>
    <xf numFmtId="0" fontId="11" fillId="0" borderId="0" xfId="5" applyFont="1" applyFill="1" applyBorder="1" applyAlignment="1"/>
    <xf numFmtId="0" fontId="21" fillId="0" borderId="0" xfId="0" applyFont="1" applyBorder="1" applyAlignment="1">
      <alignment wrapText="1"/>
    </xf>
    <xf numFmtId="4" fontId="20" fillId="0" borderId="0" xfId="0" applyNumberFormat="1" applyFont="1" applyBorder="1"/>
    <xf numFmtId="0" fontId="11" fillId="0" borderId="0" xfId="2" applyFont="1" applyFill="1" applyBorder="1" applyAlignment="1"/>
    <xf numFmtId="0" fontId="1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0" fillId="0" borderId="0" xfId="12" applyFont="1" applyFill="1" applyBorder="1" applyAlignment="1">
      <alignment wrapText="1"/>
    </xf>
    <xf numFmtId="0" fontId="10" fillId="0" borderId="0" xfId="12" applyFont="1" applyFill="1" applyBorder="1" applyAlignment="1">
      <alignment horizontal="center"/>
    </xf>
    <xf numFmtId="1" fontId="10" fillId="0" borderId="0" xfId="12" applyNumberFormat="1" applyFill="1" applyBorder="1" applyAlignment="1">
      <alignment horizontal="center"/>
    </xf>
    <xf numFmtId="4" fontId="28" fillId="0" borderId="0" xfId="12" applyNumberFormat="1" applyFont="1" applyFill="1" applyBorder="1" applyAlignment="1"/>
    <xf numFmtId="0" fontId="9" fillId="0" borderId="0" xfId="7" applyFont="1" applyFill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8" fillId="0" borderId="0" xfId="5" applyFont="1" applyFill="1" applyBorder="1" applyAlignment="1">
      <alignment wrapText="1"/>
    </xf>
    <xf numFmtId="0" fontId="8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6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38" fillId="0" borderId="0" xfId="16" applyFont="1" applyFill="1" applyBorder="1" applyAlignment="1"/>
    <xf numFmtId="0" fontId="2" fillId="0" borderId="0" xfId="17" applyFont="1" applyFill="1" applyBorder="1" applyAlignment="1">
      <alignment horizontal="center"/>
    </xf>
    <xf numFmtId="0" fontId="2" fillId="0" borderId="0" xfId="17" applyFill="1" applyBorder="1" applyAlignment="1">
      <alignment horizontal="center"/>
    </xf>
    <xf numFmtId="4" fontId="2" fillId="0" borderId="0" xfId="17" applyNumberFormat="1" applyFill="1" applyBorder="1" applyAlignment="1"/>
    <xf numFmtId="4" fontId="28" fillId="0" borderId="0" xfId="17" applyNumberFormat="1" applyFont="1" applyFill="1" applyBorder="1" applyAlignment="1"/>
    <xf numFmtId="0" fontId="1" fillId="0" borderId="0" xfId="5" applyFont="1" applyFill="1" applyBorder="1" applyAlignment="1"/>
    <xf numFmtId="0" fontId="18" fillId="0" borderId="0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7"/>
    <cellStyle name="Обычный 2 3 2" xfId="19"/>
    <cellStyle name="Обычный 2 4" xfId="13"/>
    <cellStyle name="Обычный 3" xfId="2"/>
    <cellStyle name="Обычный 3 2" xfId="8"/>
    <cellStyle name="Обычный 3 3" xfId="14"/>
    <cellStyle name="Обычный 4" xfId="4"/>
    <cellStyle name="Обычный 4 2" xfId="6"/>
    <cellStyle name="Обычный 4 2 2" xfId="11"/>
    <cellStyle name="Обычный 4 2 3" xfId="17"/>
    <cellStyle name="Обычный 4 3" xfId="9"/>
    <cellStyle name="Обычный 4 4" xfId="15"/>
    <cellStyle name="Обычный 5" xfId="5"/>
    <cellStyle name="Обычный 5 2" xfId="10"/>
    <cellStyle name="Обычный 5 3" xfId="12"/>
    <cellStyle name="Обычный 5 3 2" xfId="18"/>
    <cellStyle name="Обычный 5 4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" sqref="K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9" t="s">
        <v>176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196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3" t="s">
        <v>1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80"/>
      <c r="M8" s="109"/>
      <c r="N8" s="109"/>
      <c r="O8" s="70" t="s">
        <v>81</v>
      </c>
      <c r="R8" s="16"/>
    </row>
    <row r="9" spans="1:18" ht="18.75" customHeight="1" outlineLevel="1">
      <c r="A9" s="173" t="s">
        <v>2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80"/>
      <c r="M9" s="109"/>
      <c r="N9" s="109"/>
      <c r="O9" s="70" t="s">
        <v>82</v>
      </c>
    </row>
    <row r="10" spans="1:18" ht="18.75" customHeight="1" outlineLevel="1">
      <c r="A10" s="173" t="s">
        <v>3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920367.84</v>
      </c>
      <c r="K10" s="109"/>
      <c r="L10" s="180"/>
      <c r="M10" s="109"/>
      <c r="N10" s="109"/>
      <c r="O10" s="70" t="s">
        <v>83</v>
      </c>
    </row>
    <row r="11" spans="1:18" outlineLevel="1">
      <c r="A11" s="173" t="s">
        <v>4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1280104.79</v>
      </c>
      <c r="K11" s="109"/>
      <c r="L11" s="180"/>
      <c r="M11" s="109"/>
      <c r="N11" s="109"/>
      <c r="O11" s="70" t="s">
        <v>84</v>
      </c>
    </row>
    <row r="12" spans="1:18" ht="18.75" customHeight="1" outlineLevel="1">
      <c r="A12" s="173" t="s">
        <v>5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1028968.79</v>
      </c>
      <c r="K12" s="109"/>
      <c r="L12" s="180"/>
      <c r="M12" s="109"/>
      <c r="N12" s="109"/>
      <c r="O12" s="70" t="s">
        <v>85</v>
      </c>
    </row>
    <row r="13" spans="1:18" ht="18.75" customHeight="1" outlineLevel="1">
      <c r="A13" s="173" t="s">
        <v>6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251136</v>
      </c>
      <c r="K13" s="109"/>
      <c r="L13" s="180"/>
      <c r="M13" s="109"/>
      <c r="N13" s="109"/>
      <c r="O13" s="70" t="s">
        <v>86</v>
      </c>
    </row>
    <row r="14" spans="1:18" ht="18.75" customHeight="1" outlineLevel="1">
      <c r="A14" s="173" t="s">
        <v>7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0</v>
      </c>
      <c r="K14" s="109"/>
      <c r="L14" s="180"/>
      <c r="M14" s="109"/>
      <c r="N14" s="109"/>
      <c r="O14" s="70" t="s">
        <v>87</v>
      </c>
    </row>
    <row r="15" spans="1:18" ht="18.75" customHeight="1" outlineLevel="1">
      <c r="A15" s="173" t="s">
        <v>8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1306318.0300000003</v>
      </c>
      <c r="K15" s="109"/>
      <c r="L15" s="180"/>
      <c r="M15" s="109"/>
      <c r="N15" s="109"/>
      <c r="O15" s="70" t="s">
        <v>88</v>
      </c>
    </row>
    <row r="16" spans="1:18" ht="18.75" customHeight="1" outlineLevel="1">
      <c r="A16" s="173" t="s">
        <v>9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1306318.0300000003</v>
      </c>
      <c r="K16" s="109"/>
      <c r="L16" s="180"/>
      <c r="M16" s="109"/>
      <c r="N16" s="109"/>
      <c r="O16" s="70" t="s">
        <v>89</v>
      </c>
    </row>
    <row r="17" spans="1:23" ht="18.75" customHeight="1" outlineLevel="1">
      <c r="A17" s="173" t="s">
        <v>10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80"/>
      <c r="M17" s="109"/>
      <c r="N17" s="109"/>
      <c r="O17" s="70" t="s">
        <v>90</v>
      </c>
    </row>
    <row r="18" spans="1:23" ht="18.75" customHeight="1" outlineLevel="1">
      <c r="A18" s="173" t="s">
        <v>11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80"/>
      <c r="M18" s="109"/>
      <c r="N18" s="109"/>
      <c r="O18" s="70" t="s">
        <v>91</v>
      </c>
    </row>
    <row r="19" spans="1:23" ht="18.75" customHeight="1" outlineLevel="1">
      <c r="A19" s="173" t="s">
        <v>12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80"/>
      <c r="M19" s="109"/>
      <c r="N19" s="109"/>
      <c r="O19" s="70" t="s">
        <v>92</v>
      </c>
    </row>
    <row r="20" spans="1:23" ht="18.75" customHeight="1" outlineLevel="1">
      <c r="A20" s="173" t="s">
        <v>13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80"/>
      <c r="M20" s="109"/>
      <c r="N20" s="109"/>
      <c r="O20" s="70" t="s">
        <v>93</v>
      </c>
    </row>
    <row r="21" spans="1:23" ht="18.75" customHeight="1" outlineLevel="1">
      <c r="A21" s="173" t="s">
        <v>14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1306318.0300000003</v>
      </c>
      <c r="K21" s="109"/>
      <c r="L21" s="180"/>
      <c r="M21" s="109"/>
      <c r="N21" s="109"/>
      <c r="O21" s="70" t="s">
        <v>94</v>
      </c>
    </row>
    <row r="22" spans="1:23" ht="18.75" customHeight="1" outlineLevel="1">
      <c r="A22" s="173" t="s">
        <v>15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80"/>
      <c r="M22" s="109"/>
      <c r="N22" s="109"/>
      <c r="O22" s="70" t="s">
        <v>95</v>
      </c>
    </row>
    <row r="23" spans="1:23" ht="18.75" customHeight="1" outlineLevel="1">
      <c r="A23" s="173" t="s">
        <v>16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80"/>
      <c r="M23" s="109"/>
      <c r="N23" s="109"/>
      <c r="O23" s="70" t="s">
        <v>96</v>
      </c>
    </row>
    <row r="24" spans="1:23" ht="18.75" customHeight="1" outlineLevel="1">
      <c r="A24" s="173" t="s">
        <v>17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894154.59999999963</v>
      </c>
      <c r="K24" s="109"/>
      <c r="L24" s="180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2" t="s">
        <v>18</v>
      </c>
      <c r="B27" s="172"/>
      <c r="C27" s="172"/>
      <c r="D27" s="172"/>
      <c r="E27" s="172"/>
      <c r="F27" s="172" t="s">
        <v>19</v>
      </c>
      <c r="G27" s="172"/>
      <c r="H27" s="5" t="s">
        <v>56</v>
      </c>
      <c r="I27" s="172" t="s">
        <v>20</v>
      </c>
      <c r="J27" s="172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4"/>
      <c r="C28" s="164"/>
      <c r="D28" s="164"/>
      <c r="E28" s="164"/>
      <c r="F28" s="169">
        <f>VLOOKUP(A28,ПТО!$A$39:$D$53,2,FALSE)</f>
        <v>271854.71999999997</v>
      </c>
      <c r="G28" s="169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4" t="str">
        <f>ПТО!A40</f>
        <v>Работы по содержанию лифта (лифтов)</v>
      </c>
      <c r="B29" s="164"/>
      <c r="C29" s="164"/>
      <c r="D29" s="164"/>
      <c r="E29" s="164"/>
      <c r="F29" s="169">
        <f>VLOOKUP(A29,ПТО!$A$39:$D$53,2,FALSE)</f>
        <v>168888.95999999999</v>
      </c>
      <c r="G29" s="169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9"/>
      <c r="L29" s="181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4"/>
      <c r="C30" s="164"/>
      <c r="D30" s="164"/>
      <c r="E30" s="164"/>
      <c r="F30" s="169">
        <f>VLOOKUP(A30,ПТО!$A$39:$D$53,2,FALSE)</f>
        <v>68434.559999999998</v>
      </c>
      <c r="G30" s="169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4" t="str">
        <f>ПТО!A42</f>
        <v>Работы, выполняемые для надлежащего содержания электрооборудования дома</v>
      </c>
      <c r="B31" s="164"/>
      <c r="C31" s="164"/>
      <c r="D31" s="164"/>
      <c r="E31" s="164"/>
      <c r="F31" s="169">
        <f>VLOOKUP(A31,ПТО!$A$39:$D$53,2,FALSE)</f>
        <v>75340.800000000003</v>
      </c>
      <c r="G31" s="169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4">
        <f>ПТО!A43</f>
        <v>0</v>
      </c>
      <c r="B32" s="164"/>
      <c r="C32" s="164"/>
      <c r="D32" s="164"/>
      <c r="E32" s="164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9"/>
      <c r="L32" s="181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4" t="str">
        <f>ПТО!A44</f>
        <v>Обеспечение устранения аварий на внутридомовых инженерных системах в многоквартирном доме</v>
      </c>
      <c r="B33" s="164"/>
      <c r="C33" s="164"/>
      <c r="D33" s="164"/>
      <c r="E33" s="164"/>
      <c r="F33" s="169">
        <f>VLOOKUP(A33,ПТО!$A$39:$D$53,2,FALSE)</f>
        <v>48971.519999999997</v>
      </c>
      <c r="G33" s="169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4" t="str">
        <f>ПТО!A45</f>
        <v>Работы по содержанию помещений, входящих в состав общего имущества в многоквартирном доме</v>
      </c>
      <c r="B34" s="164"/>
      <c r="C34" s="164"/>
      <c r="D34" s="164"/>
      <c r="E34" s="164"/>
      <c r="F34" s="169">
        <f>VLOOKUP(A34,ПТО!$A$39:$D$53,2,FALSE)</f>
        <v>158215.67999999999</v>
      </c>
      <c r="G34" s="169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4"/>
      <c r="C35" s="164"/>
      <c r="D35" s="164"/>
      <c r="E35" s="164"/>
      <c r="F35" s="169">
        <f>VLOOKUP(A35,ПТО!$A$39:$D$53,2,FALSE)</f>
        <v>250508.16</v>
      </c>
      <c r="G35" s="169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09"/>
      <c r="L35" s="181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64">
        <f>ПТО!A47</f>
        <v>0</v>
      </c>
      <c r="B36" s="164"/>
      <c r="C36" s="164"/>
      <c r="D36" s="164"/>
      <c r="E36" s="164"/>
      <c r="F36" s="169" t="e">
        <f>VLOOKUP(A36,ПТО!$A$39:$D$53,2,FALSE)</f>
        <v>#N/A</v>
      </c>
      <c r="G36" s="169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9"/>
      <c r="L36" s="181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4">
        <f>ПТО!A48</f>
        <v>0</v>
      </c>
      <c r="B37" s="164"/>
      <c r="C37" s="164"/>
      <c r="D37" s="164"/>
      <c r="E37" s="164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1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4">
        <f>ПТО!A49</f>
        <v>0</v>
      </c>
      <c r="B38" s="164"/>
      <c r="C38" s="164"/>
      <c r="D38" s="164"/>
      <c r="E38" s="164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1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4">
        <f>ПТО!A50</f>
        <v>0</v>
      </c>
      <c r="B39" s="164"/>
      <c r="C39" s="164"/>
      <c r="D39" s="164"/>
      <c r="E39" s="164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1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4">
        <f>ПТО!A51</f>
        <v>0</v>
      </c>
      <c r="B40" s="164"/>
      <c r="C40" s="164"/>
      <c r="D40" s="164"/>
      <c r="E40" s="164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1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4">
        <f>ПТО!A52</f>
        <v>0</v>
      </c>
      <c r="B41" s="164"/>
      <c r="C41" s="164"/>
      <c r="D41" s="164"/>
      <c r="E41" s="164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1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4">
        <f>ПТО!A53</f>
        <v>0</v>
      </c>
      <c r="B42" s="164"/>
      <c r="C42" s="164"/>
      <c r="D42" s="164"/>
      <c r="E42" s="164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1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4" t="str">
        <f>ПТО!A2</f>
        <v>Техническое освидетельствование лифтов.</v>
      </c>
      <c r="B43" s="164"/>
      <c r="C43" s="164"/>
      <c r="D43" s="164"/>
      <c r="E43" s="164"/>
      <c r="F43" s="169">
        <f>VLOOKUP(A43,ПТО!$A$2:$D$31,4,FALSE)</f>
        <v>16200</v>
      </c>
      <c r="G43" s="169"/>
      <c r="H43" s="19" t="str">
        <f>VLOOKUP(A43,ПТО!$A$2:$D$31,2,FALSE)</f>
        <v>ежегодно</v>
      </c>
      <c r="I43" s="165">
        <f>VLOOKUP(A43,ПТО!$A$2:$D$31,3,FALSE)</f>
        <v>2</v>
      </c>
      <c r="J43" s="165"/>
      <c r="K43" s="109"/>
      <c r="L43" s="181"/>
      <c r="M43" s="116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64" t="str">
        <f>ПТО!A3</f>
        <v>Техническое обслуживание охранной сигнализации.</v>
      </c>
      <c r="B44" s="164"/>
      <c r="C44" s="164"/>
      <c r="D44" s="164"/>
      <c r="E44" s="164"/>
      <c r="F44" s="169">
        <f>VLOOKUP(A44,ПТО!$A$2:$D$31,4,FALSE)</f>
        <v>12000</v>
      </c>
      <c r="G44" s="169"/>
      <c r="H44" s="25" t="str">
        <f>VLOOKUP(A44,ПТО!$A$2:$D$31,2,FALSE)</f>
        <v>ежемесячно</v>
      </c>
      <c r="I44" s="165">
        <f>VLOOKUP(A44,ПТО!$A$2:$D$31,3,FALSE)</f>
        <v>12</v>
      </c>
      <c r="J44" s="165"/>
      <c r="K44" s="109"/>
      <c r="L44" s="181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64" t="str">
        <f>ПТО!A4</f>
        <v>Техническое обслуживание системы видеонаблюдения.</v>
      </c>
      <c r="B45" s="164"/>
      <c r="C45" s="164"/>
      <c r="D45" s="164"/>
      <c r="E45" s="164"/>
      <c r="F45" s="169">
        <f>VLOOKUP(A45,ПТО!$A$2:$D$31,4,FALSE)</f>
        <v>26400</v>
      </c>
      <c r="G45" s="169"/>
      <c r="H45" s="25" t="str">
        <f>VLOOKUP(A45,ПТО!$A$2:$D$31,2,FALSE)</f>
        <v>ежемесячно</v>
      </c>
      <c r="I45" s="165">
        <f>VLOOKUP(A45,ПТО!$A$2:$D$31,3,FALSE)</f>
        <v>12</v>
      </c>
      <c r="J45" s="165"/>
      <c r="K45" s="109"/>
      <c r="L45" s="181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64" t="str">
        <f>ПТО!A5</f>
        <v>Приобретение новогодней гирлянды.</v>
      </c>
      <c r="B46" s="164"/>
      <c r="C46" s="164"/>
      <c r="D46" s="164"/>
      <c r="E46" s="164"/>
      <c r="F46" s="169">
        <f>VLOOKUP(A46,ПТО!$A$2:$D$31,4,FALSE)</f>
        <v>484</v>
      </c>
      <c r="G46" s="169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1"/>
      <c r="M46" s="116"/>
      <c r="N46" s="109"/>
      <c r="O46" s="23" t="str">
        <f t="shared" si="1"/>
        <v>Приобретение новогодней гирлянды.</v>
      </c>
      <c r="R46" s="22" t="s">
        <v>71</v>
      </c>
    </row>
    <row r="47" spans="1:18" ht="51" customHeight="1" outlineLevel="1">
      <c r="A47" s="164" t="str">
        <f>ПТО!A6</f>
        <v>Приобретение и установка таблички по пожарной безопасности.</v>
      </c>
      <c r="B47" s="164"/>
      <c r="C47" s="164"/>
      <c r="D47" s="164"/>
      <c r="E47" s="164"/>
      <c r="F47" s="169">
        <f>VLOOKUP(A47,ПТО!$A$2:$D$31,4,FALSE)</f>
        <v>250</v>
      </c>
      <c r="G47" s="169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1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64" t="str">
        <f>ПТО!A7</f>
        <v>Ремонт прибора учета тепловой энергии.</v>
      </c>
      <c r="B48" s="164"/>
      <c r="C48" s="164"/>
      <c r="D48" s="164"/>
      <c r="E48" s="164"/>
      <c r="F48" s="169">
        <f>VLOOKUP(A48,ПТО!$A$2:$D$31,4,FALSE)</f>
        <v>2438.6666666666665</v>
      </c>
      <c r="G48" s="169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1"/>
      <c r="M48" s="116"/>
      <c r="N48" s="109"/>
      <c r="O48" s="23" t="str">
        <f t="shared" si="1"/>
        <v>Ремонт прибора учета тепловой энергии.</v>
      </c>
      <c r="R48" s="22" t="s">
        <v>71</v>
      </c>
    </row>
    <row r="49" spans="1:18" ht="51" customHeight="1" outlineLevel="1">
      <c r="A49" s="164" t="str">
        <f>ПТО!A8</f>
        <v>Замена светильников на лестничном марше.</v>
      </c>
      <c r="B49" s="164"/>
      <c r="C49" s="164"/>
      <c r="D49" s="164"/>
      <c r="E49" s="164"/>
      <c r="F49" s="169">
        <f>VLOOKUP(A49,ПТО!$A$2:$D$31,4,FALSE)</f>
        <v>16391.72</v>
      </c>
      <c r="G49" s="169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9"/>
      <c r="L49" s="181"/>
      <c r="M49" s="116"/>
      <c r="N49" s="109"/>
      <c r="O49" s="23" t="str">
        <f t="shared" si="1"/>
        <v>Замена светильников на лестничном марше.</v>
      </c>
      <c r="R49" s="22" t="s">
        <v>71</v>
      </c>
    </row>
    <row r="50" spans="1:18" ht="51" customHeight="1" outlineLevel="1">
      <c r="A50" s="164" t="str">
        <f>ПТО!A9</f>
        <v>Изготовление и монтаж металлического ограждения.</v>
      </c>
      <c r="B50" s="164"/>
      <c r="C50" s="164"/>
      <c r="D50" s="164"/>
      <c r="E50" s="164"/>
      <c r="F50" s="169">
        <f>VLOOKUP(A50,ПТО!$A$2:$D$31,4,FALSE)</f>
        <v>7250</v>
      </c>
      <c r="G50" s="169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9"/>
      <c r="L50" s="181"/>
      <c r="M50" s="116"/>
      <c r="N50" s="109"/>
      <c r="O50" s="23" t="str">
        <f t="shared" si="1"/>
        <v>Изготовление и монтаж металлического ограждения.</v>
      </c>
      <c r="R50" s="22" t="s">
        <v>71</v>
      </c>
    </row>
    <row r="51" spans="1:18" ht="51" customHeight="1" outlineLevel="1">
      <c r="A51" s="164" t="str">
        <f>ПТО!A10</f>
        <v>Ремонт подъезда (цокольный и 1-ый этажи).</v>
      </c>
      <c r="B51" s="164"/>
      <c r="C51" s="164"/>
      <c r="D51" s="164"/>
      <c r="E51" s="164"/>
      <c r="F51" s="169">
        <f>VLOOKUP(A51,ПТО!$A$2:$D$31,4,FALSE)</f>
        <v>82818</v>
      </c>
      <c r="G51" s="169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9"/>
      <c r="L51" s="181"/>
      <c r="M51" s="116"/>
      <c r="N51" s="109"/>
      <c r="O51" s="23" t="str">
        <f t="shared" si="1"/>
        <v>Ремонт подъезда (цокольный и 1-ый этажи).</v>
      </c>
      <c r="R51" s="22" t="s">
        <v>71</v>
      </c>
    </row>
    <row r="52" spans="1:18" ht="51" customHeight="1" outlineLevel="1">
      <c r="A52" s="164" t="str">
        <f>ПТО!A11</f>
        <v>Испытание ограждений кровли крыши.</v>
      </c>
      <c r="B52" s="164"/>
      <c r="C52" s="164"/>
      <c r="D52" s="164"/>
      <c r="E52" s="164"/>
      <c r="F52" s="169">
        <f>VLOOKUP(A52,ПТО!$A$2:$D$31,4,FALSE)</f>
        <v>6258</v>
      </c>
      <c r="G52" s="169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9"/>
      <c r="L52" s="181"/>
      <c r="M52" s="116"/>
      <c r="N52" s="109"/>
      <c r="O52" s="23" t="str">
        <f t="shared" si="1"/>
        <v>Испытание ограждений кровли крыши.</v>
      </c>
      <c r="R52" s="22" t="s">
        <v>71</v>
      </c>
    </row>
    <row r="53" spans="1:18" ht="51" customHeight="1" outlineLevel="1">
      <c r="A53" s="164" t="str">
        <f>ПТО!A12</f>
        <v>Испытание пожарных кранов и перекатка пожарных рукавов.</v>
      </c>
      <c r="B53" s="164"/>
      <c r="C53" s="164"/>
      <c r="D53" s="164"/>
      <c r="E53" s="164"/>
      <c r="F53" s="169">
        <f>VLOOKUP(A53,ПТО!$A$2:$D$31,4,FALSE)</f>
        <v>11050</v>
      </c>
      <c r="G53" s="169"/>
      <c r="H53" s="25" t="str">
        <f>VLOOKUP(A53,ПТО!$A$2:$D$31,2,FALSE)</f>
        <v>разово</v>
      </c>
      <c r="I53" s="165">
        <f>VLOOKUP(A53,ПТО!$A$2:$D$31,3,FALSE)</f>
        <v>1</v>
      </c>
      <c r="J53" s="165"/>
      <c r="K53" s="109"/>
      <c r="L53" s="181"/>
      <c r="M53" s="116"/>
      <c r="N53" s="109"/>
      <c r="O53" s="23" t="str">
        <f t="shared" si="1"/>
        <v>Испытание пожарных кранов и перекатка пожарных рукавов.</v>
      </c>
      <c r="R53" s="22" t="s">
        <v>71</v>
      </c>
    </row>
    <row r="54" spans="1:18" ht="51" customHeight="1" outlineLevel="1">
      <c r="A54" s="164" t="str">
        <f>ПТО!A13</f>
        <v>Приобретение и установка пожарных рукавов и стволов (16 шт.)</v>
      </c>
      <c r="B54" s="164"/>
      <c r="C54" s="164"/>
      <c r="D54" s="164"/>
      <c r="E54" s="164"/>
      <c r="F54" s="169">
        <f>VLOOKUP(A54,ПТО!$A$2:$D$31,4,FALSE)</f>
        <v>23344</v>
      </c>
      <c r="G54" s="169"/>
      <c r="H54" s="25" t="str">
        <f>VLOOKUP(A54,ПТО!$A$2:$D$31,2,FALSE)</f>
        <v>разово</v>
      </c>
      <c r="I54" s="165">
        <f>VLOOKUP(A54,ПТО!$A$2:$D$31,3,FALSE)</f>
        <v>1</v>
      </c>
      <c r="J54" s="165"/>
      <c r="K54" s="109"/>
      <c r="L54" s="181"/>
      <c r="M54" s="116"/>
      <c r="N54" s="109"/>
      <c r="O54" s="23" t="str">
        <f t="shared" si="1"/>
        <v>Приобретение и установка пожарных рукавов и стволов (16 шт.)</v>
      </c>
      <c r="R54" s="22" t="s">
        <v>71</v>
      </c>
    </row>
    <row r="55" spans="1:18" ht="51" hidden="1" customHeight="1" outlineLevel="1">
      <c r="A55" s="164">
        <f>ПТО!A14</f>
        <v>0</v>
      </c>
      <c r="B55" s="164"/>
      <c r="C55" s="164"/>
      <c r="D55" s="164"/>
      <c r="E55" s="164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65" t="e">
        <f>VLOOKUP(A55,ПТО!$A$2:$D$31,3,FALSE)</f>
        <v>#N/A</v>
      </c>
      <c r="J55" s="165"/>
      <c r="K55" s="109"/>
      <c r="L55" s="181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4">
        <f>ПТО!A15</f>
        <v>0</v>
      </c>
      <c r="B56" s="164"/>
      <c r="C56" s="164"/>
      <c r="D56" s="164"/>
      <c r="E56" s="164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65" t="e">
        <f>VLOOKUP(A56,ПТО!$A$2:$D$31,3,FALSE)</f>
        <v>#N/A</v>
      </c>
      <c r="J56" s="165"/>
      <c r="K56" s="109"/>
      <c r="L56" s="181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4">
        <f>ПТО!A16</f>
        <v>0</v>
      </c>
      <c r="B57" s="164"/>
      <c r="C57" s="164"/>
      <c r="D57" s="164"/>
      <c r="E57" s="164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09"/>
      <c r="L57" s="181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4">
        <f>ПТО!A17</f>
        <v>0</v>
      </c>
      <c r="B58" s="164"/>
      <c r="C58" s="164"/>
      <c r="D58" s="164"/>
      <c r="E58" s="164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09"/>
      <c r="L58" s="181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4">
        <f>ПТО!A18</f>
        <v>0</v>
      </c>
      <c r="B59" s="164"/>
      <c r="C59" s="164"/>
      <c r="D59" s="164"/>
      <c r="E59" s="164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9"/>
      <c r="L59" s="181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4">
        <f>ПТО!A19</f>
        <v>0</v>
      </c>
      <c r="B60" s="164"/>
      <c r="C60" s="164"/>
      <c r="D60" s="164"/>
      <c r="E60" s="164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9"/>
      <c r="L60" s="181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4">
        <f>ПТО!A20</f>
        <v>0</v>
      </c>
      <c r="B61" s="164"/>
      <c r="C61" s="164"/>
      <c r="D61" s="164"/>
      <c r="E61" s="164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9"/>
      <c r="L61" s="181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4">
        <f>ПТО!A21</f>
        <v>0</v>
      </c>
      <c r="B62" s="164"/>
      <c r="C62" s="164"/>
      <c r="D62" s="164"/>
      <c r="E62" s="164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9"/>
      <c r="L62" s="181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4">
        <f>ПТО!A22</f>
        <v>0</v>
      </c>
      <c r="B63" s="164"/>
      <c r="C63" s="164"/>
      <c r="D63" s="164"/>
      <c r="E63" s="164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9"/>
      <c r="L63" s="181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4">
        <f>ПТО!A23</f>
        <v>0</v>
      </c>
      <c r="B64" s="164"/>
      <c r="C64" s="164"/>
      <c r="D64" s="164"/>
      <c r="E64" s="164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9"/>
      <c r="L64" s="181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4">
        <f>ПТО!A24</f>
        <v>0</v>
      </c>
      <c r="B65" s="164"/>
      <c r="C65" s="164"/>
      <c r="D65" s="164"/>
      <c r="E65" s="164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1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4">
        <f>ПТО!A25</f>
        <v>0</v>
      </c>
      <c r="B66" s="164"/>
      <c r="C66" s="164"/>
      <c r="D66" s="164"/>
      <c r="E66" s="164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1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4">
        <f>ПТО!A26</f>
        <v>0</v>
      </c>
      <c r="B67" s="164"/>
      <c r="C67" s="164"/>
      <c r="D67" s="164"/>
      <c r="E67" s="164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1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4">
        <f>ПТО!A27</f>
        <v>0</v>
      </c>
      <c r="B68" s="164"/>
      <c r="C68" s="164"/>
      <c r="D68" s="164"/>
      <c r="E68" s="164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1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4">
        <f>ПТО!A28</f>
        <v>0</v>
      </c>
      <c r="B69" s="164"/>
      <c r="C69" s="164"/>
      <c r="D69" s="164"/>
      <c r="E69" s="164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1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4">
        <f>ПТО!A29</f>
        <v>0</v>
      </c>
      <c r="B70" s="164"/>
      <c r="C70" s="164"/>
      <c r="D70" s="164"/>
      <c r="E70" s="164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9"/>
      <c r="L70" s="181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4">
        <f>ПТО!A30</f>
        <v>0</v>
      </c>
      <c r="B71" s="164"/>
      <c r="C71" s="164"/>
      <c r="D71" s="164"/>
      <c r="E71" s="164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6"/>
      <c r="L71" s="181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4">
        <f>ПТО!A31</f>
        <v>0</v>
      </c>
      <c r="B72" s="164"/>
      <c r="C72" s="164"/>
      <c r="D72" s="164"/>
      <c r="E72" s="164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9"/>
      <c r="L72" s="181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2" t="s">
        <v>26</v>
      </c>
      <c r="B75" s="182"/>
      <c r="C75" s="182"/>
      <c r="D75" s="182"/>
      <c r="E75" s="182"/>
      <c r="F75" s="182"/>
      <c r="G75" s="182"/>
      <c r="H75" s="182"/>
      <c r="I75" s="182"/>
      <c r="J75" s="8">
        <f>VLOOKUP(O75,АО,3,FALSE)</f>
        <v>0</v>
      </c>
      <c r="K75" s="109"/>
      <c r="L75" s="184"/>
      <c r="M75" s="109"/>
      <c r="N75" s="109"/>
      <c r="O75" s="70" t="s">
        <v>98</v>
      </c>
    </row>
    <row r="76" spans="1:16384" ht="18.75" customHeight="1" outlineLevel="1">
      <c r="A76" s="182" t="s">
        <v>27</v>
      </c>
      <c r="B76" s="182"/>
      <c r="C76" s="182"/>
      <c r="D76" s="182"/>
      <c r="E76" s="182"/>
      <c r="F76" s="182"/>
      <c r="G76" s="182"/>
      <c r="H76" s="182"/>
      <c r="I76" s="182"/>
      <c r="J76" s="8">
        <f>VLOOKUP(O76,АО,3,FALSE)</f>
        <v>0</v>
      </c>
      <c r="K76" s="109"/>
      <c r="L76" s="184"/>
      <c r="M76" s="109"/>
      <c r="N76" s="109"/>
      <c r="O76" s="70" t="s">
        <v>99</v>
      </c>
    </row>
    <row r="77" spans="1:16384" ht="21.75" customHeight="1" outlineLevel="1">
      <c r="A77" s="182" t="s">
        <v>28</v>
      </c>
      <c r="B77" s="182"/>
      <c r="C77" s="182"/>
      <c r="D77" s="182"/>
      <c r="E77" s="182"/>
      <c r="F77" s="182"/>
      <c r="G77" s="182"/>
      <c r="H77" s="182"/>
      <c r="I77" s="182"/>
      <c r="J77" s="8">
        <f>VLOOKUP(O77,АО,3,FALSE)</f>
        <v>0</v>
      </c>
      <c r="K77" s="109"/>
      <c r="L77" s="184"/>
      <c r="M77" s="109"/>
      <c r="N77" s="109"/>
      <c r="O77" s="70" t="s">
        <v>100</v>
      </c>
    </row>
    <row r="78" spans="1:16384" ht="18.75" customHeight="1" outlineLevel="1">
      <c r="A78" s="182" t="s">
        <v>29</v>
      </c>
      <c r="B78" s="182"/>
      <c r="C78" s="182"/>
      <c r="D78" s="182"/>
      <c r="E78" s="182"/>
      <c r="F78" s="182"/>
      <c r="G78" s="182"/>
      <c r="H78" s="182"/>
      <c r="I78" s="182"/>
      <c r="J78" s="97">
        <f>VLOOKUP(O78,АО,3,FALSE)</f>
        <v>0</v>
      </c>
      <c r="K78" s="109"/>
      <c r="L78" s="184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2" t="s">
        <v>1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0"/>
      <c r="M81" s="109"/>
      <c r="N81" s="109"/>
      <c r="O81" s="70" t="s">
        <v>102</v>
      </c>
    </row>
    <row r="82" spans="1:15" outlineLevel="1">
      <c r="A82" s="162" t="s">
        <v>2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0"/>
      <c r="M82" s="109"/>
      <c r="N82" s="109"/>
      <c r="O82" s="70" t="s">
        <v>103</v>
      </c>
    </row>
    <row r="83" spans="1:15" outlineLevel="1">
      <c r="A83" s="176" t="s">
        <v>3</v>
      </c>
      <c r="B83" s="177"/>
      <c r="C83" s="177"/>
      <c r="D83" s="177"/>
      <c r="E83" s="177"/>
      <c r="F83" s="177"/>
      <c r="G83" s="177"/>
      <c r="H83" s="177"/>
      <c r="I83" s="178"/>
      <c r="J83" s="97">
        <f t="shared" si="2"/>
        <v>148178.06</v>
      </c>
      <c r="K83" s="109"/>
      <c r="L83" s="170"/>
      <c r="M83" s="109"/>
      <c r="N83" s="109"/>
      <c r="O83" s="70" t="s">
        <v>104</v>
      </c>
    </row>
    <row r="84" spans="1:15" outlineLevel="1">
      <c r="A84" s="176" t="s">
        <v>15</v>
      </c>
      <c r="B84" s="177"/>
      <c r="C84" s="177"/>
      <c r="D84" s="177"/>
      <c r="E84" s="177"/>
      <c r="F84" s="177"/>
      <c r="G84" s="177"/>
      <c r="H84" s="177"/>
      <c r="I84" s="178"/>
      <c r="J84" s="97">
        <f t="shared" si="2"/>
        <v>0</v>
      </c>
      <c r="K84" s="109"/>
      <c r="L84" s="170"/>
      <c r="M84" s="109"/>
      <c r="N84" s="109"/>
      <c r="O84" s="70" t="s">
        <v>105</v>
      </c>
    </row>
    <row r="85" spans="1:15" outlineLevel="1">
      <c r="A85" s="176" t="s">
        <v>16</v>
      </c>
      <c r="B85" s="177"/>
      <c r="C85" s="177"/>
      <c r="D85" s="177"/>
      <c r="E85" s="177"/>
      <c r="F85" s="177"/>
      <c r="G85" s="177"/>
      <c r="H85" s="177"/>
      <c r="I85" s="178"/>
      <c r="J85" s="97">
        <f t="shared" si="2"/>
        <v>0</v>
      </c>
      <c r="K85" s="109"/>
      <c r="L85" s="170"/>
      <c r="M85" s="109"/>
      <c r="N85" s="109"/>
      <c r="O85" s="70" t="s">
        <v>106</v>
      </c>
    </row>
    <row r="86" spans="1:15" outlineLevel="1">
      <c r="A86" s="176" t="s">
        <v>17</v>
      </c>
      <c r="B86" s="177"/>
      <c r="C86" s="177"/>
      <c r="D86" s="177"/>
      <c r="E86" s="177"/>
      <c r="F86" s="177"/>
      <c r="G86" s="177"/>
      <c r="H86" s="177"/>
      <c r="I86" s="178"/>
      <c r="J86" s="97">
        <f t="shared" si="2"/>
        <v>124574.91</v>
      </c>
      <c r="K86" s="109"/>
      <c r="L86" s="170"/>
      <c r="M86" s="109"/>
      <c r="N86" s="109"/>
      <c r="O86" s="70" t="s">
        <v>107</v>
      </c>
    </row>
    <row r="87" spans="1:15" ht="18.75" customHeight="1" outlineLevel="1">
      <c r="A87" s="176" t="s">
        <v>26</v>
      </c>
      <c r="B87" s="177"/>
      <c r="C87" s="177"/>
      <c r="D87" s="177"/>
      <c r="E87" s="177"/>
      <c r="F87" s="177"/>
      <c r="G87" s="177"/>
      <c r="H87" s="177"/>
      <c r="I87" s="178"/>
      <c r="J87" s="8">
        <f t="shared" si="2"/>
        <v>0</v>
      </c>
      <c r="K87" s="109"/>
      <c r="L87" s="170"/>
      <c r="M87" s="109"/>
      <c r="N87" s="109"/>
      <c r="O87" s="70" t="s">
        <v>108</v>
      </c>
    </row>
    <row r="88" spans="1:15" ht="18.75" customHeight="1" outlineLevel="1">
      <c r="A88" s="176" t="s">
        <v>27</v>
      </c>
      <c r="B88" s="177"/>
      <c r="C88" s="177"/>
      <c r="D88" s="177"/>
      <c r="E88" s="177"/>
      <c r="F88" s="177"/>
      <c r="G88" s="177"/>
      <c r="H88" s="177"/>
      <c r="I88" s="178"/>
      <c r="J88" s="8">
        <f t="shared" si="2"/>
        <v>0</v>
      </c>
      <c r="K88" s="109"/>
      <c r="L88" s="170"/>
      <c r="M88" s="109"/>
      <c r="N88" s="109"/>
      <c r="O88" s="70" t="s">
        <v>109</v>
      </c>
    </row>
    <row r="89" spans="1:15" ht="18.75" customHeight="1" outlineLevel="1">
      <c r="A89" s="176" t="s">
        <v>28</v>
      </c>
      <c r="B89" s="177"/>
      <c r="C89" s="177"/>
      <c r="D89" s="177"/>
      <c r="E89" s="177"/>
      <c r="F89" s="177"/>
      <c r="G89" s="177"/>
      <c r="H89" s="177"/>
      <c r="I89" s="178"/>
      <c r="J89" s="8">
        <f t="shared" si="2"/>
        <v>0</v>
      </c>
      <c r="K89" s="109"/>
      <c r="L89" s="170"/>
      <c r="M89" s="109"/>
      <c r="N89" s="109"/>
      <c r="O89" s="70" t="s">
        <v>110</v>
      </c>
    </row>
    <row r="90" spans="1:15" ht="18.75" customHeight="1" outlineLevel="1">
      <c r="A90" s="176" t="s">
        <v>29</v>
      </c>
      <c r="B90" s="177"/>
      <c r="C90" s="177"/>
      <c r="D90" s="177"/>
      <c r="E90" s="177"/>
      <c r="F90" s="177"/>
      <c r="G90" s="177"/>
      <c r="H90" s="177"/>
      <c r="I90" s="178"/>
      <c r="J90" s="97">
        <f t="shared" si="2"/>
        <v>0</v>
      </c>
      <c r="K90" s="109"/>
      <c r="L90" s="170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85" t="s">
        <v>47</v>
      </c>
      <c r="B93" s="185"/>
      <c r="C93" s="185"/>
      <c r="D93" s="186" t="s">
        <v>48</v>
      </c>
      <c r="E93" s="186"/>
      <c r="F93" s="10" t="s">
        <v>49</v>
      </c>
      <c r="G93" s="185" t="s">
        <v>50</v>
      </c>
      <c r="H93" s="185"/>
      <c r="I93" s="185"/>
      <c r="J93" s="185"/>
      <c r="K93" s="109"/>
      <c r="L93" s="109"/>
      <c r="M93" s="109"/>
      <c r="N93" s="109"/>
    </row>
    <row r="94" spans="1:15" outlineLevel="1">
      <c r="A94" s="166" t="str">
        <f>IF(VLOOKUP("эл",АО,3,FALSE)&gt;0,"Электроснабжение",0)</f>
        <v>Электроснабжение</v>
      </c>
      <c r="B94" s="166"/>
      <c r="C94" s="166"/>
      <c r="D94" s="167" t="str">
        <f>IF(VLOOKUP("эл",АО,3,FALSE)&gt;0,VLOOKUP("эл",АО,3,FALSE),0)</f>
        <v>Предоставляется</v>
      </c>
      <c r="E94" s="167"/>
      <c r="F94" s="13" t="str">
        <f>IF(VLOOKUP("эл",АО,3,FALSE)&gt;0,VLOOKUP("эл",АО,4,FALSE),0)</f>
        <v>кВт*ч</v>
      </c>
      <c r="G94" s="168">
        <f>VLOOKUP("эл",АО,5,FALSE)</f>
        <v>346769.85</v>
      </c>
      <c r="H94" s="167"/>
      <c r="I94" s="167"/>
      <c r="J94" s="167"/>
      <c r="K94" s="1" t="str">
        <f>VLOOKUP("эл",АО,2,FALSE)</f>
        <v>Электроснабжение</v>
      </c>
      <c r="L94" s="171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304184.07894736843</v>
      </c>
      <c r="L95" s="171"/>
      <c r="O95" s="1" t="s">
        <v>112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345293.37</v>
      </c>
      <c r="L96" s="171"/>
      <c r="O96" s="1" t="s">
        <v>113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1476.4799999999814</v>
      </c>
      <c r="L97" s="171"/>
      <c r="O97" s="1" t="s">
        <v>114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346769.85</v>
      </c>
      <c r="L98" s="171"/>
      <c r="O98" s="1" t="s">
        <v>115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346769.85</v>
      </c>
      <c r="L99" s="171"/>
      <c r="O99" s="1" t="s">
        <v>116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71"/>
      <c r="O100" s="1" t="s">
        <v>117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71"/>
      <c r="O101" s="1" t="s">
        <v>118</v>
      </c>
    </row>
    <row r="102" spans="1:15" ht="28.5" customHeight="1" outlineLevel="1">
      <c r="A102" s="166" t="str">
        <f>IF(VLOOKUP("хвс",АО,3,FALSE)&gt;0,"Холодное водоснабжение",0)</f>
        <v>Холодное водоснабжение</v>
      </c>
      <c r="B102" s="166"/>
      <c r="C102" s="166"/>
      <c r="D102" s="167" t="str">
        <f>IF(VLOOKUP("хвс",АО,3,FALSE)&gt;0,VLOOKUP("хвс",АО,3,FALSE),0)</f>
        <v>Предоставляется</v>
      </c>
      <c r="E102" s="167"/>
      <c r="F102" s="13" t="str">
        <f>IF(VLOOKUP("хвс",АО,3,FALSE)&gt;0,VLOOKUP("хвс",АО,4,FALSE),0)</f>
        <v>куб.м.</v>
      </c>
      <c r="G102" s="168">
        <f>VLOOKUP("хвс",АО,5,FALSE)</f>
        <v>195928.94</v>
      </c>
      <c r="H102" s="167"/>
      <c r="I102" s="167"/>
      <c r="J102" s="167"/>
      <c r="L102" s="171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14481.074648928308</v>
      </c>
      <c r="L103" s="171"/>
      <c r="O103" s="1" t="s">
        <v>121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207604.26999999996</v>
      </c>
      <c r="L104" s="171"/>
      <c r="O104" s="1" t="s">
        <v>122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71"/>
      <c r="O105" s="1" t="s">
        <v>123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195928.94</v>
      </c>
      <c r="L106" s="171"/>
      <c r="O106" s="1" t="s">
        <v>124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195928.94</v>
      </c>
      <c r="L107" s="171"/>
      <c r="O107" s="1" t="s">
        <v>125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71"/>
      <c r="O108" s="1" t="s">
        <v>126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71"/>
      <c r="O109" s="1" t="s">
        <v>127</v>
      </c>
    </row>
    <row r="110" spans="1:15" ht="27" customHeight="1" outlineLevel="1">
      <c r="A110" s="166" t="str">
        <f>IF(VLOOKUP("воо",АО,3,FALSE)&gt;0,"Водоотведение",0)</f>
        <v>Водоотведение</v>
      </c>
      <c r="B110" s="166"/>
      <c r="C110" s="166"/>
      <c r="D110" s="167" t="str">
        <f>IF(VLOOKUP("воо",АО,3,FALSE)&gt;0,VLOOKUP("воо",АО,3,FALSE),0)</f>
        <v>Предоставляется</v>
      </c>
      <c r="E110" s="167"/>
      <c r="F110" s="13" t="str">
        <f>IF(VLOOKUP("воо",АО,3,FALSE)&gt;0,VLOOKUP("воо",АО,4,FALSE),0)</f>
        <v>куб.м.</v>
      </c>
      <c r="G110" s="168">
        <f>VLOOKUP("воо",АО,5,FALSE)</f>
        <v>227334.42999999996</v>
      </c>
      <c r="H110" s="167"/>
      <c r="I110" s="167"/>
      <c r="J110" s="167"/>
      <c r="L110" s="171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14733.274789371353</v>
      </c>
      <c r="L111" s="171"/>
      <c r="O111" s="1" t="s">
        <v>129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237583.59999999992</v>
      </c>
      <c r="L112" s="171"/>
      <c r="O112" s="1" t="s">
        <v>130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0</v>
      </c>
      <c r="L113" s="171"/>
      <c r="O113" s="1" t="s">
        <v>131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227334.42999999996</v>
      </c>
      <c r="L114" s="171"/>
      <c r="O114" s="1" t="s">
        <v>132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227334.42999999996</v>
      </c>
      <c r="L115" s="171"/>
      <c r="O115" s="1" t="s">
        <v>133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71"/>
      <c r="O116" s="1" t="s">
        <v>134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71"/>
      <c r="O117" s="1" t="s">
        <v>135</v>
      </c>
    </row>
    <row r="118" spans="1:15" ht="32.25" hidden="1" customHeight="1" outlineLevel="1">
      <c r="A118" s="166">
        <f>IF(VLOOKUP("тко",АО,3,FALSE)&gt;0,"Обращение с ТКО",0)</f>
        <v>0</v>
      </c>
      <c r="B118" s="166"/>
      <c r="C118" s="166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8">
        <f>VLOOKUP("тко",АО,5,FALSE)</f>
        <v>0</v>
      </c>
      <c r="H118" s="167"/>
      <c r="I118" s="167"/>
      <c r="J118" s="167"/>
      <c r="L118" s="47"/>
    </row>
    <row r="119" spans="1:15" ht="32.25" hidden="1" customHeight="1" outlineLevel="2">
      <c r="A119" s="162">
        <f t="shared" ref="A119:A125" si="8">IF(VLOOKUP("тко",АО,3,FALSE)&gt;0,VLOOKUP(O119,АО,2,FALSE),0)</f>
        <v>0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2">
        <f t="shared" si="8"/>
        <v>0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2">
        <f t="shared" si="8"/>
        <v>0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2">
        <f t="shared" si="8"/>
        <v>0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2">
        <f t="shared" si="8"/>
        <v>0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2">
        <f t="shared" si="8"/>
        <v>0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2">
        <f t="shared" si="8"/>
        <v>0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6">
        <f>IF(VLOOKUP("гвс",АО,3,FALSE)&gt;0,"Горячее водоснабжение",0)</f>
        <v>0</v>
      </c>
      <c r="B126" s="166"/>
      <c r="C126" s="166"/>
      <c r="D126" s="167">
        <f>IF(VLOOKUP("гвс",АО,3,FALSE)&gt;0,VLOOKUP("гвс",АО,3,FALSE),0)</f>
        <v>0</v>
      </c>
      <c r="E126" s="167"/>
      <c r="F126" s="13">
        <f>IF(VLOOKUP("гвс",АО,3,FALSE)&gt;0,VLOOKUP("гвс",АО,4,FALSE),0)</f>
        <v>0</v>
      </c>
      <c r="G126" s="168">
        <f>VLOOKUP("гвс",АО,5,FALSE)</f>
        <v>0</v>
      </c>
      <c r="H126" s="167"/>
      <c r="I126" s="167"/>
      <c r="J126" s="167"/>
      <c r="L126" s="47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7"/>
      <c r="I134" s="167"/>
      <c r="J134" s="167"/>
      <c r="L134" s="47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62" t="s">
        <v>44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169</v>
      </c>
    </row>
    <row r="145" spans="1:15" ht="18.75" customHeight="1" outlineLevel="1">
      <c r="A145" s="162" t="s">
        <v>45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62" t="s">
        <v>172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38772.699999999997</v>
      </c>
      <c r="O146" t="s">
        <v>171</v>
      </c>
    </row>
    <row r="149" spans="1:15" ht="52.5" customHeight="1">
      <c r="A149" s="187" t="s">
        <v>190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196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89" t="s">
        <v>191</v>
      </c>
      <c r="B154" s="189"/>
      <c r="C154" s="189"/>
      <c r="D154" s="189"/>
      <c r="E154" s="27">
        <f>ПТО!G1</f>
        <v>-27725.02</v>
      </c>
    </row>
    <row r="155" spans="1:15" ht="34.5" customHeight="1">
      <c r="A155" s="188" t="s">
        <v>195</v>
      </c>
      <c r="B155" s="188"/>
      <c r="C155" s="188"/>
      <c r="D155" s="188"/>
      <c r="E155" s="28">
        <f>J13</f>
        <v>251136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18</v>
      </c>
      <c r="B157" s="172"/>
      <c r="C157" s="172"/>
      <c r="D157" s="172"/>
      <c r="E157" s="172"/>
      <c r="F157" s="172" t="s">
        <v>19</v>
      </c>
      <c r="G157" s="172"/>
      <c r="H157" s="20" t="s">
        <v>56</v>
      </c>
      <c r="I157" s="172" t="s">
        <v>20</v>
      </c>
      <c r="J157" s="172"/>
    </row>
    <row r="158" spans="1:15" ht="29.25" customHeight="1">
      <c r="A158" s="164" t="str">
        <f t="shared" ref="A158:A163" si="14">IF(N158&gt;0,N158,0)</f>
        <v>Техническое освидетельствование лифтов.</v>
      </c>
      <c r="B158" s="164"/>
      <c r="C158" s="164"/>
      <c r="D158" s="164"/>
      <c r="E158" s="164"/>
      <c r="F158" s="169">
        <f t="shared" ref="F158:F163" si="15">IF(ISERROR(VLOOKUP(A158,$A$28:$J$72,6,FALSE)),0,VLOOKUP(A158,$A$28:$J$72,6,FALSE))</f>
        <v>16200</v>
      </c>
      <c r="G158" s="169"/>
      <c r="H158" s="24" t="str">
        <f t="shared" ref="H158:H187" si="16">VLOOKUP(A158,$A$28:$J$72,8,FALSE)</f>
        <v>ежегодно</v>
      </c>
      <c r="I158" s="165">
        <f t="shared" ref="I158:I161" si="17">VLOOKUP(A158,$A$28:$J$72,9,FALSE)</f>
        <v>2</v>
      </c>
      <c r="J158" s="165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4" t="str">
        <f t="shared" si="14"/>
        <v>Техническое обслуживание охранной сигнализации.</v>
      </c>
      <c r="B159" s="164"/>
      <c r="C159" s="164"/>
      <c r="D159" s="164"/>
      <c r="E159" s="164"/>
      <c r="F159" s="169">
        <f t="shared" si="15"/>
        <v>12000</v>
      </c>
      <c r="G159" s="169"/>
      <c r="H159" s="24" t="str">
        <f t="shared" si="16"/>
        <v>ежемесячно</v>
      </c>
      <c r="I159" s="165">
        <f t="shared" si="17"/>
        <v>12</v>
      </c>
      <c r="J159" s="165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64" t="str">
        <f t="shared" si="14"/>
        <v>Техническое обслуживание системы видеонаблюдения.</v>
      </c>
      <c r="B160" s="164"/>
      <c r="C160" s="164"/>
      <c r="D160" s="164"/>
      <c r="E160" s="164"/>
      <c r="F160" s="169">
        <f t="shared" si="15"/>
        <v>26400</v>
      </c>
      <c r="G160" s="169"/>
      <c r="H160" s="24" t="str">
        <f t="shared" si="16"/>
        <v>ежемесячно</v>
      </c>
      <c r="I160" s="165">
        <f t="shared" si="17"/>
        <v>12</v>
      </c>
      <c r="J160" s="165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64" t="str">
        <f>IF(N161&gt;0,N161,0)</f>
        <v>Приобретение новогодней гирлянды.</v>
      </c>
      <c r="B161" s="164"/>
      <c r="C161" s="164"/>
      <c r="D161" s="164"/>
      <c r="E161" s="164"/>
      <c r="F161" s="169">
        <f t="shared" si="15"/>
        <v>484</v>
      </c>
      <c r="G161" s="169"/>
      <c r="H161" s="24" t="str">
        <f t="shared" si="16"/>
        <v>разово</v>
      </c>
      <c r="I161" s="165">
        <f t="shared" si="17"/>
        <v>1</v>
      </c>
      <c r="J161" s="165"/>
      <c r="M161" s="22" t="s">
        <v>71</v>
      </c>
      <c r="N161" s="1" t="str">
        <v>Приобретение новогодней гирлянды.</v>
      </c>
    </row>
    <row r="162" spans="1:14" ht="28.5" customHeight="1">
      <c r="A162" s="164" t="str">
        <f t="shared" si="14"/>
        <v>Приобретение и установка таблички по пожарной безопасности.</v>
      </c>
      <c r="B162" s="164"/>
      <c r="C162" s="164"/>
      <c r="D162" s="164"/>
      <c r="E162" s="164"/>
      <c r="F162" s="169">
        <f t="shared" si="15"/>
        <v>250</v>
      </c>
      <c r="G162" s="169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64" t="str">
        <f t="shared" si="14"/>
        <v>Ремонт прибора учета тепловой энергии.</v>
      </c>
      <c r="B163" s="164"/>
      <c r="C163" s="164"/>
      <c r="D163" s="164"/>
      <c r="E163" s="164"/>
      <c r="F163" s="169">
        <f t="shared" si="15"/>
        <v>2438.6666666666665</v>
      </c>
      <c r="G163" s="169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71</v>
      </c>
      <c r="N163" s="1" t="str">
        <v>Ремонт прибора учета тепловой энергии.</v>
      </c>
    </row>
    <row r="164" spans="1:14" ht="28.5" customHeight="1">
      <c r="A164" s="164" t="str">
        <f t="shared" ref="A164:A187" si="18">IF(N164&gt;0,N164,0)</f>
        <v>Замена светильников на лестничном марше.</v>
      </c>
      <c r="B164" s="164"/>
      <c r="C164" s="164"/>
      <c r="D164" s="164"/>
      <c r="E164" s="164"/>
      <c r="F164" s="169">
        <f t="shared" ref="F164:F187" si="19">IF(ISERROR(VLOOKUP(A164,$A$28:$J$72,6,FALSE)),0,VLOOKUP(A164,$A$28:$J$72,6,FALSE))</f>
        <v>16391.72</v>
      </c>
      <c r="G164" s="169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71</v>
      </c>
      <c r="N164" s="1" t="str">
        <v>Замена светильников на лестничном марше.</v>
      </c>
    </row>
    <row r="165" spans="1:14" ht="28.5" customHeight="1">
      <c r="A165" s="164" t="str">
        <f t="shared" si="18"/>
        <v>Изготовление и монтаж металлического ограждения.</v>
      </c>
      <c r="B165" s="164"/>
      <c r="C165" s="164"/>
      <c r="D165" s="164"/>
      <c r="E165" s="164"/>
      <c r="F165" s="169">
        <f t="shared" si="19"/>
        <v>7250</v>
      </c>
      <c r="G165" s="169"/>
      <c r="H165" s="29" t="str">
        <f t="shared" si="16"/>
        <v>разово</v>
      </c>
      <c r="I165" s="165">
        <f t="shared" si="20"/>
        <v>1</v>
      </c>
      <c r="J165" s="165"/>
      <c r="M165" s="22" t="s">
        <v>71</v>
      </c>
      <c r="N165" s="1" t="str">
        <v>Изготовление и монтаж металлического ограждения.</v>
      </c>
    </row>
    <row r="166" spans="1:14" ht="28.5" customHeight="1">
      <c r="A166" s="164" t="str">
        <f t="shared" si="18"/>
        <v>Ремонт подъезда (цокольный и 1-ый этажи).</v>
      </c>
      <c r="B166" s="164"/>
      <c r="C166" s="164"/>
      <c r="D166" s="164"/>
      <c r="E166" s="164"/>
      <c r="F166" s="169">
        <f t="shared" si="19"/>
        <v>82818</v>
      </c>
      <c r="G166" s="169"/>
      <c r="H166" s="29" t="str">
        <f t="shared" si="16"/>
        <v>разово</v>
      </c>
      <c r="I166" s="165">
        <f t="shared" si="20"/>
        <v>1</v>
      </c>
      <c r="J166" s="165"/>
      <c r="M166" s="22" t="s">
        <v>71</v>
      </c>
      <c r="N166" s="1" t="str">
        <v>Ремонт подъезда (цокольный и 1-ый этажи).</v>
      </c>
    </row>
    <row r="167" spans="1:14" ht="28.5" customHeight="1">
      <c r="A167" s="164" t="str">
        <f t="shared" si="18"/>
        <v>Испытание ограждений кровли крыши.</v>
      </c>
      <c r="B167" s="164"/>
      <c r="C167" s="164"/>
      <c r="D167" s="164"/>
      <c r="E167" s="164"/>
      <c r="F167" s="169">
        <f t="shared" si="19"/>
        <v>6258</v>
      </c>
      <c r="G167" s="169"/>
      <c r="H167" s="29" t="str">
        <f t="shared" si="16"/>
        <v>разово</v>
      </c>
      <c r="I167" s="165">
        <f t="shared" si="20"/>
        <v>1</v>
      </c>
      <c r="J167" s="165"/>
      <c r="M167" s="22" t="s">
        <v>71</v>
      </c>
      <c r="N167" s="1" t="str">
        <v>Испытание ограждений кровли крыши.</v>
      </c>
    </row>
    <row r="168" spans="1:14" ht="28.5" customHeight="1">
      <c r="A168" s="164" t="str">
        <f t="shared" si="18"/>
        <v>Испытание пожарных кранов и перекатка пожарных рукавов.</v>
      </c>
      <c r="B168" s="164"/>
      <c r="C168" s="164"/>
      <c r="D168" s="164"/>
      <c r="E168" s="164"/>
      <c r="F168" s="169">
        <f t="shared" si="19"/>
        <v>11050</v>
      </c>
      <c r="G168" s="169"/>
      <c r="H168" s="29" t="str">
        <f t="shared" si="16"/>
        <v>разово</v>
      </c>
      <c r="I168" s="165">
        <f t="shared" si="20"/>
        <v>1</v>
      </c>
      <c r="J168" s="165"/>
      <c r="M168" s="22" t="s">
        <v>71</v>
      </c>
      <c r="N168" s="1" t="str">
        <v>Испытание пожарных кранов и перекатка пожарных рукавов.</v>
      </c>
    </row>
    <row r="169" spans="1:14" ht="28.5" customHeight="1">
      <c r="A169" s="164" t="str">
        <f t="shared" si="18"/>
        <v>Приобретение и установка пожарных рукавов и стволов (16 шт.)</v>
      </c>
      <c r="B169" s="164"/>
      <c r="C169" s="164"/>
      <c r="D169" s="164"/>
      <c r="E169" s="164"/>
      <c r="F169" s="169">
        <f t="shared" si="19"/>
        <v>23344</v>
      </c>
      <c r="G169" s="169"/>
      <c r="H169" s="29" t="str">
        <f t="shared" si="16"/>
        <v>разово</v>
      </c>
      <c r="I169" s="165">
        <f t="shared" si="20"/>
        <v>1</v>
      </c>
      <c r="J169" s="165"/>
      <c r="M169" s="22" t="s">
        <v>71</v>
      </c>
      <c r="N169" s="1" t="str">
        <v>Приобретение и установка пожарных рукавов и стволов (16 шт.)</v>
      </c>
    </row>
    <row r="170" spans="1:14" ht="28.5" hidden="1" customHeight="1">
      <c r="A170" s="164">
        <f t="shared" si="18"/>
        <v>0</v>
      </c>
      <c r="B170" s="164"/>
      <c r="C170" s="164"/>
      <c r="D170" s="164"/>
      <c r="E170" s="164"/>
      <c r="F170" s="169">
        <f t="shared" si="19"/>
        <v>0</v>
      </c>
      <c r="G170" s="169"/>
      <c r="H170" s="29" t="e">
        <f t="shared" si="16"/>
        <v>#N/A</v>
      </c>
      <c r="I170" s="165" t="e">
        <f t="shared" si="20"/>
        <v>#N/A</v>
      </c>
      <c r="J170" s="165"/>
      <c r="M170" s="22" t="s">
        <v>71</v>
      </c>
      <c r="N170" s="1">
        <v>0</v>
      </c>
    </row>
    <row r="171" spans="1:14" ht="28.5" hidden="1" customHeight="1">
      <c r="A171" s="164">
        <f t="shared" si="18"/>
        <v>0</v>
      </c>
      <c r="B171" s="164"/>
      <c r="C171" s="164"/>
      <c r="D171" s="164"/>
      <c r="E171" s="164"/>
      <c r="F171" s="169">
        <f t="shared" si="19"/>
        <v>0</v>
      </c>
      <c r="G171" s="169"/>
      <c r="H171" s="29" t="e">
        <f t="shared" si="16"/>
        <v>#N/A</v>
      </c>
      <c r="I171" s="165" t="e">
        <f t="shared" si="20"/>
        <v>#N/A</v>
      </c>
      <c r="J171" s="165"/>
      <c r="M171" s="22" t="s">
        <v>71</v>
      </c>
      <c r="N171" s="1">
        <v>0</v>
      </c>
    </row>
    <row r="172" spans="1:14" ht="28.5" hidden="1" customHeight="1">
      <c r="A172" s="164">
        <f t="shared" si="18"/>
        <v>0</v>
      </c>
      <c r="B172" s="164"/>
      <c r="C172" s="164"/>
      <c r="D172" s="164"/>
      <c r="E172" s="164"/>
      <c r="F172" s="169">
        <f t="shared" si="19"/>
        <v>0</v>
      </c>
      <c r="G172" s="169"/>
      <c r="H172" s="29" t="e">
        <f t="shared" si="16"/>
        <v>#N/A</v>
      </c>
      <c r="I172" s="165" t="e">
        <f t="shared" si="20"/>
        <v>#N/A</v>
      </c>
      <c r="J172" s="165"/>
      <c r="M172" s="22" t="s">
        <v>71</v>
      </c>
      <c r="N172" s="1">
        <v>0</v>
      </c>
    </row>
    <row r="173" spans="1:14" ht="28.5" hidden="1" customHeight="1">
      <c r="A173" s="164">
        <f t="shared" si="18"/>
        <v>0</v>
      </c>
      <c r="B173" s="164"/>
      <c r="C173" s="164"/>
      <c r="D173" s="164"/>
      <c r="E173" s="164"/>
      <c r="F173" s="169">
        <f t="shared" si="19"/>
        <v>0</v>
      </c>
      <c r="G173" s="169"/>
      <c r="H173" s="29" t="e">
        <f t="shared" si="16"/>
        <v>#N/A</v>
      </c>
      <c r="I173" s="165" t="e">
        <f t="shared" si="20"/>
        <v>#N/A</v>
      </c>
      <c r="J173" s="165"/>
      <c r="M173" s="22" t="s">
        <v>71</v>
      </c>
      <c r="N173" s="1">
        <v>0</v>
      </c>
    </row>
    <row r="174" spans="1:14" ht="28.5" hidden="1" customHeight="1">
      <c r="A174" s="164">
        <f t="shared" si="18"/>
        <v>0</v>
      </c>
      <c r="B174" s="164"/>
      <c r="C174" s="164"/>
      <c r="D174" s="164"/>
      <c r="E174" s="164"/>
      <c r="F174" s="169">
        <f t="shared" si="19"/>
        <v>0</v>
      </c>
      <c r="G174" s="169"/>
      <c r="H174" s="29" t="e">
        <f t="shared" si="16"/>
        <v>#N/A</v>
      </c>
      <c r="I174" s="165" t="e">
        <f t="shared" si="20"/>
        <v>#N/A</v>
      </c>
      <c r="J174" s="165"/>
      <c r="M174" s="22" t="s">
        <v>71</v>
      </c>
      <c r="N174" s="1">
        <v>0</v>
      </c>
    </row>
    <row r="175" spans="1:14" ht="28.5" hidden="1" customHeight="1">
      <c r="A175" s="164">
        <f t="shared" si="18"/>
        <v>0</v>
      </c>
      <c r="B175" s="164"/>
      <c r="C175" s="164"/>
      <c r="D175" s="164"/>
      <c r="E175" s="164"/>
      <c r="F175" s="169">
        <f t="shared" si="19"/>
        <v>0</v>
      </c>
      <c r="G175" s="169"/>
      <c r="H175" s="29" t="e">
        <f t="shared" si="16"/>
        <v>#N/A</v>
      </c>
      <c r="I175" s="165" t="e">
        <f t="shared" si="20"/>
        <v>#N/A</v>
      </c>
      <c r="J175" s="165"/>
      <c r="M175" s="22" t="s">
        <v>71</v>
      </c>
      <c r="N175" s="1">
        <v>0</v>
      </c>
    </row>
    <row r="176" spans="1:14" ht="28.5" hidden="1" customHeight="1">
      <c r="A176" s="164">
        <f t="shared" si="18"/>
        <v>0</v>
      </c>
      <c r="B176" s="164"/>
      <c r="C176" s="164"/>
      <c r="D176" s="164"/>
      <c r="E176" s="164"/>
      <c r="F176" s="169">
        <f t="shared" si="19"/>
        <v>0</v>
      </c>
      <c r="G176" s="169"/>
      <c r="H176" s="29" t="e">
        <f t="shared" si="16"/>
        <v>#N/A</v>
      </c>
      <c r="I176" s="165" t="e">
        <f t="shared" si="20"/>
        <v>#N/A</v>
      </c>
      <c r="J176" s="165"/>
      <c r="M176" s="22" t="s">
        <v>71</v>
      </c>
      <c r="N176" s="1">
        <v>0</v>
      </c>
    </row>
    <row r="177" spans="1:14" ht="28.5" hidden="1" customHeight="1">
      <c r="A177" s="164">
        <f t="shared" si="18"/>
        <v>0</v>
      </c>
      <c r="B177" s="164"/>
      <c r="C177" s="164"/>
      <c r="D177" s="164"/>
      <c r="E177" s="164"/>
      <c r="F177" s="169">
        <f t="shared" si="19"/>
        <v>0</v>
      </c>
      <c r="G177" s="169"/>
      <c r="H177" s="29" t="e">
        <f t="shared" si="16"/>
        <v>#N/A</v>
      </c>
      <c r="I177" s="165" t="e">
        <f t="shared" si="20"/>
        <v>#N/A</v>
      </c>
      <c r="J177" s="165"/>
      <c r="M177" s="22" t="s">
        <v>71</v>
      </c>
      <c r="N177" s="1">
        <v>0</v>
      </c>
    </row>
    <row r="178" spans="1:14" ht="28.5" hidden="1" customHeight="1">
      <c r="A178" s="164">
        <f t="shared" si="18"/>
        <v>0</v>
      </c>
      <c r="B178" s="164"/>
      <c r="C178" s="164"/>
      <c r="D178" s="164"/>
      <c r="E178" s="164"/>
      <c r="F178" s="169">
        <f t="shared" si="19"/>
        <v>0</v>
      </c>
      <c r="G178" s="169"/>
      <c r="H178" s="29" t="e">
        <f t="shared" si="16"/>
        <v>#N/A</v>
      </c>
      <c r="I178" s="165" t="e">
        <f t="shared" si="20"/>
        <v>#N/A</v>
      </c>
      <c r="J178" s="165"/>
      <c r="M178" s="22" t="s">
        <v>71</v>
      </c>
      <c r="N178" s="1">
        <v>0</v>
      </c>
    </row>
    <row r="179" spans="1:14" ht="28.5" hidden="1" customHeight="1">
      <c r="A179" s="164">
        <f t="shared" si="18"/>
        <v>0</v>
      </c>
      <c r="B179" s="164"/>
      <c r="C179" s="164"/>
      <c r="D179" s="164"/>
      <c r="E179" s="164"/>
      <c r="F179" s="169">
        <f t="shared" si="19"/>
        <v>0</v>
      </c>
      <c r="G179" s="169"/>
      <c r="H179" s="29" t="e">
        <f t="shared" si="16"/>
        <v>#N/A</v>
      </c>
      <c r="I179" s="165" t="e">
        <f t="shared" si="20"/>
        <v>#N/A</v>
      </c>
      <c r="J179" s="165"/>
      <c r="M179" s="22" t="s">
        <v>71</v>
      </c>
      <c r="N179" s="1">
        <v>0</v>
      </c>
    </row>
    <row r="180" spans="1:14" ht="28.5" hidden="1" customHeight="1">
      <c r="A180" s="164">
        <f t="shared" si="18"/>
        <v>0</v>
      </c>
      <c r="B180" s="164"/>
      <c r="C180" s="164"/>
      <c r="D180" s="164"/>
      <c r="E180" s="164"/>
      <c r="F180" s="169">
        <f t="shared" si="19"/>
        <v>0</v>
      </c>
      <c r="G180" s="169"/>
      <c r="H180" s="29" t="e">
        <f t="shared" si="16"/>
        <v>#N/A</v>
      </c>
      <c r="I180" s="165" t="e">
        <f t="shared" si="20"/>
        <v>#N/A</v>
      </c>
      <c r="J180" s="165"/>
      <c r="M180" s="22" t="s">
        <v>71</v>
      </c>
      <c r="N180" s="1">
        <v>0</v>
      </c>
    </row>
    <row r="181" spans="1:14" ht="28.5" hidden="1" customHeight="1">
      <c r="A181" s="164">
        <f t="shared" si="18"/>
        <v>0</v>
      </c>
      <c r="B181" s="164"/>
      <c r="C181" s="164"/>
      <c r="D181" s="164"/>
      <c r="E181" s="164"/>
      <c r="F181" s="169">
        <f t="shared" si="19"/>
        <v>0</v>
      </c>
      <c r="G181" s="169"/>
      <c r="H181" s="29" t="e">
        <f t="shared" si="16"/>
        <v>#N/A</v>
      </c>
      <c r="I181" s="165" t="e">
        <f t="shared" si="20"/>
        <v>#N/A</v>
      </c>
      <c r="J181" s="165"/>
      <c r="M181" s="22" t="s">
        <v>71</v>
      </c>
      <c r="N181" s="1">
        <v>0</v>
      </c>
    </row>
    <row r="182" spans="1:14" ht="28.5" hidden="1" customHeight="1">
      <c r="A182" s="164">
        <f t="shared" si="18"/>
        <v>0</v>
      </c>
      <c r="B182" s="164"/>
      <c r="C182" s="164"/>
      <c r="D182" s="164"/>
      <c r="E182" s="164"/>
      <c r="F182" s="169">
        <f t="shared" si="19"/>
        <v>0</v>
      </c>
      <c r="G182" s="169"/>
      <c r="H182" s="29" t="e">
        <f t="shared" si="16"/>
        <v>#N/A</v>
      </c>
      <c r="I182" s="165" t="e">
        <f t="shared" si="20"/>
        <v>#N/A</v>
      </c>
      <c r="J182" s="165"/>
      <c r="M182" s="22" t="s">
        <v>71</v>
      </c>
      <c r="N182" s="1">
        <v>0</v>
      </c>
    </row>
    <row r="183" spans="1:14" ht="28.5" hidden="1" customHeight="1">
      <c r="A183" s="164">
        <f t="shared" si="18"/>
        <v>0</v>
      </c>
      <c r="B183" s="164"/>
      <c r="C183" s="164"/>
      <c r="D183" s="164"/>
      <c r="E183" s="164"/>
      <c r="F183" s="169">
        <f t="shared" si="19"/>
        <v>0</v>
      </c>
      <c r="G183" s="169"/>
      <c r="H183" s="29" t="e">
        <f t="shared" si="16"/>
        <v>#N/A</v>
      </c>
      <c r="I183" s="165" t="e">
        <f t="shared" si="20"/>
        <v>#N/A</v>
      </c>
      <c r="J183" s="165"/>
      <c r="M183" s="22" t="s">
        <v>71</v>
      </c>
      <c r="N183" s="1">
        <v>0</v>
      </c>
    </row>
    <row r="184" spans="1:14" ht="28.5" hidden="1" customHeight="1">
      <c r="A184" s="164">
        <f t="shared" si="18"/>
        <v>0</v>
      </c>
      <c r="B184" s="164"/>
      <c r="C184" s="164"/>
      <c r="D184" s="164"/>
      <c r="E184" s="164"/>
      <c r="F184" s="169">
        <f t="shared" si="19"/>
        <v>0</v>
      </c>
      <c r="G184" s="169"/>
      <c r="H184" s="29" t="e">
        <f t="shared" si="16"/>
        <v>#N/A</v>
      </c>
      <c r="I184" s="165" t="e">
        <f t="shared" si="20"/>
        <v>#N/A</v>
      </c>
      <c r="J184" s="165"/>
      <c r="M184" s="22" t="s">
        <v>71</v>
      </c>
      <c r="N184" s="1">
        <v>0</v>
      </c>
    </row>
    <row r="185" spans="1:14" ht="28.5" hidden="1" customHeight="1">
      <c r="A185" s="164">
        <f t="shared" si="18"/>
        <v>0</v>
      </c>
      <c r="B185" s="164"/>
      <c r="C185" s="164"/>
      <c r="D185" s="164"/>
      <c r="E185" s="164"/>
      <c r="F185" s="169">
        <f t="shared" si="19"/>
        <v>0</v>
      </c>
      <c r="G185" s="169"/>
      <c r="H185" s="29" t="e">
        <f t="shared" si="16"/>
        <v>#N/A</v>
      </c>
      <c r="I185" s="165" t="e">
        <f t="shared" si="20"/>
        <v>#N/A</v>
      </c>
      <c r="J185" s="165"/>
      <c r="M185" s="22" t="s">
        <v>71</v>
      </c>
      <c r="N185" s="1">
        <v>0</v>
      </c>
    </row>
    <row r="186" spans="1:14" ht="28.5" hidden="1" customHeight="1">
      <c r="A186" s="164">
        <f>IF(N186&gt;0,N186,0)</f>
        <v>0</v>
      </c>
      <c r="B186" s="164"/>
      <c r="C186" s="164"/>
      <c r="D186" s="164"/>
      <c r="E186" s="164"/>
      <c r="F186" s="169">
        <f t="shared" si="19"/>
        <v>0</v>
      </c>
      <c r="G186" s="169"/>
      <c r="H186" s="29" t="e">
        <f t="shared" si="16"/>
        <v>#N/A</v>
      </c>
      <c r="I186" s="165" t="e">
        <f t="shared" si="20"/>
        <v>#N/A</v>
      </c>
      <c r="J186" s="165"/>
      <c r="M186" s="22" t="s">
        <v>71</v>
      </c>
      <c r="N186" s="1">
        <v>0</v>
      </c>
    </row>
    <row r="187" spans="1:14" ht="28.5" hidden="1" customHeight="1">
      <c r="A187" s="164">
        <f t="shared" si="18"/>
        <v>0</v>
      </c>
      <c r="B187" s="164"/>
      <c r="C187" s="164"/>
      <c r="D187" s="164"/>
      <c r="E187" s="164"/>
      <c r="F187" s="169">
        <f t="shared" si="19"/>
        <v>0</v>
      </c>
      <c r="G187" s="169"/>
      <c r="H187" s="29" t="e">
        <f t="shared" si="16"/>
        <v>#N/A</v>
      </c>
      <c r="I187" s="165" t="e">
        <f t="shared" si="20"/>
        <v>#N/A</v>
      </c>
      <c r="J187" s="165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9" t="s">
        <v>194</v>
      </c>
      <c r="B190" s="189"/>
      <c r="C190" s="189"/>
      <c r="D190" s="189"/>
      <c r="E190" s="27">
        <f>SUM(F158:G187)</f>
        <v>204884.38666666666</v>
      </c>
    </row>
    <row r="191" spans="1:14" ht="51.75" customHeight="1">
      <c r="A191" s="189" t="s">
        <v>193</v>
      </c>
      <c r="B191" s="189"/>
      <c r="C191" s="189"/>
      <c r="D191" s="189"/>
      <c r="E191" s="27">
        <f>E190+E154-E155</f>
        <v>-73976.633333333331</v>
      </c>
    </row>
    <row r="192" spans="1:14">
      <c r="A192" s="104" t="s">
        <v>173</v>
      </c>
    </row>
    <row r="193" spans="1:10" ht="62.25" customHeight="1">
      <c r="A193" s="163" t="s">
        <v>192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49">
        <f>ПТО!G12</f>
        <v>1200</v>
      </c>
      <c r="I194" s="50" t="s">
        <v>73</v>
      </c>
    </row>
    <row r="195" spans="1:10" ht="18.75" customHeight="1">
      <c r="A195" s="161" t="str">
        <f>ПТО!F13</f>
        <v xml:space="preserve">  -  техническое освидетельствование лифтов</v>
      </c>
      <c r="B195" s="161"/>
      <c r="C195" s="161"/>
      <c r="D195" s="161"/>
      <c r="E195" s="161"/>
      <c r="F195" s="161"/>
      <c r="G195" s="161"/>
      <c r="H195" s="49">
        <f>ПТО!G13</f>
        <v>16200</v>
      </c>
      <c r="I195" s="50" t="s">
        <v>73</v>
      </c>
    </row>
    <row r="196" spans="1:10" ht="18.75" customHeight="1">
      <c r="A196" s="161" t="str">
        <f>ПТО!F14</f>
        <v xml:space="preserve">  -  техническое обслуживание охранной сигнализации</v>
      </c>
      <c r="B196" s="161"/>
      <c r="C196" s="161"/>
      <c r="D196" s="161"/>
      <c r="E196" s="161"/>
      <c r="F196" s="161"/>
      <c r="G196" s="161"/>
      <c r="H196" s="49">
        <f>ПТО!G14</f>
        <v>12000</v>
      </c>
      <c r="I196" s="50" t="s">
        <v>73</v>
      </c>
    </row>
    <row r="197" spans="1:10" ht="18.75" customHeight="1">
      <c r="A197" s="161" t="str">
        <f>ПТО!F15</f>
        <v xml:space="preserve">  -  техническое обслуживание системы видеонаблюдения</v>
      </c>
      <c r="B197" s="161"/>
      <c r="C197" s="161"/>
      <c r="D197" s="161"/>
      <c r="E197" s="161"/>
      <c r="F197" s="161"/>
      <c r="G197" s="161"/>
      <c r="H197" s="49">
        <f>ПТО!G15</f>
        <v>26400</v>
      </c>
      <c r="I197" s="50" t="s">
        <v>73</v>
      </c>
    </row>
    <row r="198" spans="1:10" ht="18.75" customHeight="1">
      <c r="A198" s="161" t="str">
        <f>ПТО!F16</f>
        <v xml:space="preserve"> - покраска металлического ограждения</v>
      </c>
      <c r="B198" s="161"/>
      <c r="C198" s="161"/>
      <c r="D198" s="161"/>
      <c r="E198" s="161"/>
      <c r="F198" s="161"/>
      <c r="G198" s="161"/>
      <c r="H198" s="49">
        <f>ПТО!G16</f>
        <v>4000</v>
      </c>
      <c r="I198" s="52" t="s">
        <v>73</v>
      </c>
    </row>
    <row r="199" spans="1:10" ht="18.75" customHeight="1">
      <c r="A199" s="161" t="str">
        <f>ПТО!F17</f>
        <v xml:space="preserve">  -  покраска (обновление) бордюров и разлиновка парковочных мест</v>
      </c>
      <c r="B199" s="161"/>
      <c r="C199" s="161"/>
      <c r="D199" s="161"/>
      <c r="E199" s="161"/>
      <c r="F199" s="161"/>
      <c r="G199" s="161"/>
      <c r="H199" s="49">
        <f>ПТО!G17</f>
        <v>9000</v>
      </c>
      <c r="I199" s="50" t="s">
        <v>73</v>
      </c>
    </row>
    <row r="200" spans="1:10">
      <c r="A200" s="161" t="str">
        <f>ПТО!F18</f>
        <v xml:space="preserve">  -  устройство крыльца резинополом специализированной организацией</v>
      </c>
      <c r="B200" s="161"/>
      <c r="C200" s="161"/>
      <c r="D200" s="161"/>
      <c r="E200" s="161"/>
      <c r="F200" s="161"/>
      <c r="G200" s="161"/>
      <c r="H200" s="49">
        <f>ПТО!G18</f>
        <v>100000</v>
      </c>
      <c r="I200" s="50" t="s">
        <v>73</v>
      </c>
    </row>
    <row r="201" spans="1:10">
      <c r="A201" s="161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61"/>
      <c r="C201" s="161"/>
      <c r="D201" s="161"/>
      <c r="E201" s="161"/>
      <c r="F201" s="161"/>
      <c r="G201" s="161"/>
      <c r="H201" s="49">
        <f>ПТО!G19</f>
        <v>12000</v>
      </c>
      <c r="I201" s="50" t="s">
        <v>73</v>
      </c>
    </row>
    <row r="202" spans="1:10">
      <c r="A202" s="161" t="str">
        <f>ПТО!F20</f>
        <v xml:space="preserve"> -  ремонт асфальтного покрытия (трещины, ямы)  специализированной организацией</v>
      </c>
      <c r="B202" s="161"/>
      <c r="C202" s="161"/>
      <c r="D202" s="161"/>
      <c r="E202" s="161"/>
      <c r="F202" s="161"/>
      <c r="G202" s="161"/>
      <c r="H202" s="49">
        <f>ПТО!G20</f>
        <v>25000</v>
      </c>
      <c r="I202" s="50" t="s">
        <v>73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49">
        <f>ПТО!G21</f>
        <v>0</v>
      </c>
      <c r="I203" s="50" t="s">
        <v>73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49">
        <f>ПТО!G22</f>
        <v>0</v>
      </c>
      <c r="I204" s="50" t="s">
        <v>73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49">
        <f>ПТО!G23</f>
        <v>0</v>
      </c>
      <c r="I205" s="50" t="s">
        <v>73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49">
        <f>ПТО!G24</f>
        <v>0</v>
      </c>
      <c r="I206" s="50" t="s">
        <v>73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49">
        <f>ПТО!G25</f>
        <v>0</v>
      </c>
      <c r="I207" s="50" t="s">
        <v>73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49">
        <f>ПТО!G26</f>
        <v>0</v>
      </c>
      <c r="I208" s="50" t="s">
        <v>73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49">
        <f>ПТО!G27</f>
        <v>0</v>
      </c>
      <c r="I209" s="50" t="s">
        <v>73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49">
        <f>ПТО!G28</f>
        <v>0</v>
      </c>
      <c r="I210" s="50" t="s">
        <v>73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49">
        <f>ПТО!G29</f>
        <v>0</v>
      </c>
      <c r="I211" s="50" t="s">
        <v>73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49">
        <f>ПТО!G30</f>
        <v>0</v>
      </c>
      <c r="I212" s="50" t="s">
        <v>73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205800</v>
      </c>
      <c r="I214" s="56" t="s">
        <v>76</v>
      </c>
    </row>
  </sheetData>
  <sheetProtection algorithmName="SHA-512" hashValue="uLeg3ylUqfjLx295SulVty7V8/JkfXUVtZ77Shp87hv9EJDfize4guY7hCVvmmKfLXVNEHoH50UkTPGb2P8ByQ==" saltValue="IUaw0N0I7YNGGj2GB3M2F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191</v>
      </c>
      <c r="G1" s="101">
        <f>-27725.02</f>
        <v>-27725.02</v>
      </c>
    </row>
    <row r="2" spans="1:12" ht="18.75" customHeight="1">
      <c r="A2" s="131" t="s">
        <v>182</v>
      </c>
      <c r="B2" s="122" t="s">
        <v>179</v>
      </c>
      <c r="C2" s="122">
        <v>2</v>
      </c>
      <c r="D2" s="123">
        <v>16200</v>
      </c>
      <c r="E2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9" t="s">
        <v>177</v>
      </c>
      <c r="B3" s="122" t="s">
        <v>180</v>
      </c>
      <c r="C3" s="122">
        <v>12</v>
      </c>
      <c r="D3" s="123">
        <v>12000</v>
      </c>
      <c r="E3" t="s">
        <v>215</v>
      </c>
      <c r="F3" s="30"/>
      <c r="G3" s="30"/>
      <c r="L3" s="33" t="str">
        <f t="shared" si="0"/>
        <v>ТР</v>
      </c>
    </row>
    <row r="4" spans="1:12" ht="18.75" customHeight="1">
      <c r="A4" s="119" t="s">
        <v>178</v>
      </c>
      <c r="B4" s="121" t="s">
        <v>180</v>
      </c>
      <c r="C4" s="121">
        <v>12</v>
      </c>
      <c r="D4" s="123">
        <f>2200*C4</f>
        <v>26400</v>
      </c>
      <c r="E4" t="s">
        <v>216</v>
      </c>
      <c r="F4" s="30"/>
      <c r="G4" s="30"/>
      <c r="L4" s="33" t="str">
        <f t="shared" si="0"/>
        <v>ТР</v>
      </c>
    </row>
    <row r="5" spans="1:12" ht="18.75" customHeight="1">
      <c r="A5" s="137" t="s">
        <v>199</v>
      </c>
      <c r="B5" s="138" t="s">
        <v>198</v>
      </c>
      <c r="C5" s="139">
        <v>1</v>
      </c>
      <c r="D5" s="140">
        <v>484</v>
      </c>
      <c r="E5" s="141" t="s">
        <v>200</v>
      </c>
      <c r="F5" s="44"/>
      <c r="G5" s="44"/>
      <c r="K5" s="46"/>
      <c r="L5" s="33" t="str">
        <f t="shared" si="0"/>
        <v>ТР</v>
      </c>
    </row>
    <row r="6" spans="1:12" ht="18.75" customHeight="1">
      <c r="A6" s="130" t="s">
        <v>197</v>
      </c>
      <c r="B6" s="136" t="s">
        <v>198</v>
      </c>
      <c r="C6" s="142">
        <v>1</v>
      </c>
      <c r="D6" s="143">
        <v>250</v>
      </c>
      <c r="E6" s="128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44" t="s">
        <v>201</v>
      </c>
      <c r="B7" s="145" t="s">
        <v>198</v>
      </c>
      <c r="C7" s="121">
        <v>1</v>
      </c>
      <c r="D7" s="123">
        <f>7316/3</f>
        <v>2438.6666666666665</v>
      </c>
      <c r="E7" s="128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60" t="s">
        <v>218</v>
      </c>
      <c r="B8" s="146" t="s">
        <v>198</v>
      </c>
      <c r="C8" s="121">
        <v>1</v>
      </c>
      <c r="D8" s="123">
        <v>16391.72</v>
      </c>
      <c r="E8" s="129" t="s">
        <v>204</v>
      </c>
      <c r="F8" s="45"/>
      <c r="G8" s="45"/>
      <c r="K8" s="43"/>
      <c r="L8" s="33" t="str">
        <f t="shared" si="0"/>
        <v>ТР</v>
      </c>
    </row>
    <row r="9" spans="1:12">
      <c r="A9" s="147" t="s">
        <v>205</v>
      </c>
      <c r="B9" s="148" t="s">
        <v>198</v>
      </c>
      <c r="C9" s="121">
        <v>1</v>
      </c>
      <c r="D9" s="123">
        <v>7250</v>
      </c>
      <c r="E9" s="128" t="s">
        <v>206</v>
      </c>
      <c r="F9" s="44"/>
      <c r="G9" s="44"/>
      <c r="K9" s="43"/>
      <c r="L9" s="33" t="str">
        <f t="shared" si="0"/>
        <v>ТР</v>
      </c>
    </row>
    <row r="10" spans="1:12">
      <c r="A10" s="149" t="s">
        <v>207</v>
      </c>
      <c r="B10" s="150" t="s">
        <v>198</v>
      </c>
      <c r="C10" s="122">
        <v>1</v>
      </c>
      <c r="D10" s="123">
        <v>82818</v>
      </c>
      <c r="E10" s="124" t="s">
        <v>209</v>
      </c>
      <c r="L10" s="33" t="str">
        <f t="shared" si="0"/>
        <v>ТР</v>
      </c>
    </row>
    <row r="11" spans="1:12" ht="94.5">
      <c r="A11" s="151" t="s">
        <v>208</v>
      </c>
      <c r="B11" s="152" t="s">
        <v>198</v>
      </c>
      <c r="C11" s="121">
        <v>1</v>
      </c>
      <c r="D11" s="123">
        <v>6258</v>
      </c>
      <c r="E11" s="128" t="s">
        <v>211</v>
      </c>
      <c r="F11" s="111" t="s">
        <v>192</v>
      </c>
      <c r="G11" s="111"/>
      <c r="L11" s="33" t="str">
        <f t="shared" si="0"/>
        <v>ТР</v>
      </c>
    </row>
    <row r="12" spans="1:12" ht="31.5">
      <c r="A12" s="153" t="s">
        <v>210</v>
      </c>
      <c r="B12" s="154" t="s">
        <v>198</v>
      </c>
      <c r="C12" s="122">
        <v>1</v>
      </c>
      <c r="D12" s="123">
        <v>11050</v>
      </c>
      <c r="E12" s="124" t="s">
        <v>212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55" t="s">
        <v>217</v>
      </c>
      <c r="B13" s="156" t="s">
        <v>198</v>
      </c>
      <c r="C13" s="157">
        <v>1</v>
      </c>
      <c r="D13" s="158">
        <v>23344</v>
      </c>
      <c r="E13" s="159" t="s">
        <v>213</v>
      </c>
      <c r="F13" s="112" t="s">
        <v>183</v>
      </c>
      <c r="G13" s="113">
        <v>16200</v>
      </c>
      <c r="L13" s="33" t="str">
        <f t="shared" si="0"/>
        <v>ТР</v>
      </c>
    </row>
    <row r="14" spans="1:12" ht="31.5">
      <c r="A14" s="119"/>
      <c r="B14" s="121"/>
      <c r="C14" s="122"/>
      <c r="D14" s="123"/>
      <c r="E14" s="124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20"/>
      <c r="B15" s="121"/>
      <c r="C15" s="121"/>
      <c r="D15" s="118"/>
      <c r="E15" s="128"/>
      <c r="F15" s="112" t="s">
        <v>74</v>
      </c>
      <c r="G15" s="114">
        <v>26400</v>
      </c>
      <c r="L15" s="33">
        <f t="shared" si="0"/>
        <v>0</v>
      </c>
    </row>
    <row r="16" spans="1:12" ht="15.75">
      <c r="A16" s="119"/>
      <c r="B16" s="121"/>
      <c r="C16" s="122"/>
      <c r="D16" s="123"/>
      <c r="E16" s="124"/>
      <c r="F16" s="112" t="s">
        <v>185</v>
      </c>
      <c r="G16" s="113">
        <v>4000</v>
      </c>
      <c r="L16" s="33">
        <f t="shared" si="0"/>
        <v>0</v>
      </c>
    </row>
    <row r="17" spans="1:12" ht="31.5">
      <c r="A17" s="134"/>
      <c r="B17" s="121"/>
      <c r="C17" s="122"/>
      <c r="D17" s="123"/>
      <c r="E17" s="124"/>
      <c r="F17" s="112" t="s">
        <v>186</v>
      </c>
      <c r="G17" s="113">
        <v>9000</v>
      </c>
      <c r="L17" s="33">
        <f t="shared" si="0"/>
        <v>0</v>
      </c>
    </row>
    <row r="18" spans="1:12" ht="31.5">
      <c r="A18" s="134"/>
      <c r="B18" s="121"/>
      <c r="C18" s="122"/>
      <c r="D18" s="123"/>
      <c r="E18" s="124"/>
      <c r="F18" s="112" t="s">
        <v>187</v>
      </c>
      <c r="G18" s="113">
        <v>100000</v>
      </c>
      <c r="L18" s="33">
        <f t="shared" si="0"/>
        <v>0</v>
      </c>
    </row>
    <row r="19" spans="1:12" ht="63">
      <c r="A19" s="130"/>
      <c r="B19" s="126"/>
      <c r="C19" s="127"/>
      <c r="D19" s="129"/>
      <c r="E19" s="125"/>
      <c r="F19" s="112" t="s">
        <v>188</v>
      </c>
      <c r="G19" s="113">
        <v>12000</v>
      </c>
      <c r="L19" s="33">
        <f t="shared" si="0"/>
        <v>0</v>
      </c>
    </row>
    <row r="20" spans="1:12" ht="47.25">
      <c r="A20" s="130"/>
      <c r="B20" s="126"/>
      <c r="C20" s="127"/>
      <c r="D20" s="129"/>
      <c r="E20" s="128"/>
      <c r="F20" s="112" t="s">
        <v>189</v>
      </c>
      <c r="G20" s="113">
        <v>25000</v>
      </c>
      <c r="L20" s="33">
        <f t="shared" si="0"/>
        <v>0</v>
      </c>
    </row>
    <row r="21" spans="1:12" ht="15.75">
      <c r="A21" s="135"/>
      <c r="B21" s="121"/>
      <c r="C21" s="136"/>
      <c r="D21" s="123"/>
      <c r="E21" s="125"/>
      <c r="F21" s="112"/>
      <c r="G21" s="113"/>
      <c r="L21" s="33">
        <f t="shared" si="0"/>
        <v>0</v>
      </c>
    </row>
    <row r="22" spans="1:12" ht="15.75">
      <c r="F22" s="112"/>
      <c r="G22" s="113"/>
      <c r="L22" s="33">
        <f t="shared" si="0"/>
        <v>0</v>
      </c>
    </row>
    <row r="23" spans="1:12" ht="15.75">
      <c r="F23" s="132"/>
      <c r="G23" s="13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271854.71999999997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271854.71999999997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168888.95999999999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168888.95999999999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68434.559999999998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68434.559999999998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75340.800000000003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75340.800000000003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48971.519999999997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48971.519999999997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158215.67999999999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158215.67999999999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250508.16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250508.16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AN0TXhunGztmSdWE7nEWQKzRwt+sScDZuN4HcbTdNj5zfLPrE/F/t5E8TR5zgAaEQZkg2A9UApl53hMi++h0qA==" saltValue="G+aEH+99yfu3s07oSeDlb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F31" sqref="F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5232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920367.84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1280104.79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1028968.79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251136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1306318.0300000003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1306318.0300000003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1306318.0300000003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894154.59999999963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2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2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2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2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1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1"/>
      <c r="N26" s="63"/>
    </row>
    <row r="27" spans="1:15" ht="18.75" customHeight="1">
      <c r="A27" s="70" t="s">
        <v>104</v>
      </c>
      <c r="B27" s="75" t="s">
        <v>3</v>
      </c>
      <c r="C27" s="86">
        <v>148178.06</v>
      </c>
      <c r="D27" s="81" t="s">
        <v>59</v>
      </c>
      <c r="E27" s="64"/>
      <c r="F27" s="64"/>
      <c r="G27" s="64"/>
      <c r="H27" s="64"/>
      <c r="I27" s="64"/>
      <c r="J27" s="64"/>
      <c r="M27" s="191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1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1"/>
      <c r="N29" s="63"/>
    </row>
    <row r="30" spans="1:15" ht="18.75" customHeight="1">
      <c r="A30" s="70" t="s">
        <v>107</v>
      </c>
      <c r="B30" s="75" t="s">
        <v>17</v>
      </c>
      <c r="C30" s="86">
        <v>124574.91</v>
      </c>
      <c r="D30" s="81" t="s">
        <v>65</v>
      </c>
      <c r="E30" s="64"/>
      <c r="F30" s="64"/>
      <c r="G30" s="64"/>
      <c r="H30" s="64"/>
      <c r="I30" s="64"/>
      <c r="J30" s="64"/>
      <c r="M30" s="191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1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1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1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1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346769.85</v>
      </c>
      <c r="F37" s="94" t="s">
        <v>166</v>
      </c>
      <c r="G37" s="66"/>
      <c r="H37" s="66"/>
      <c r="I37" s="66"/>
      <c r="L37" s="63"/>
      <c r="M37" s="190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304184.07894736843</v>
      </c>
      <c r="D38" s="94" t="s">
        <v>164</v>
      </c>
      <c r="E38" s="68"/>
      <c r="G38" s="67"/>
      <c r="H38" s="67"/>
      <c r="L38" s="63"/>
      <c r="M38" s="190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345293.37</v>
      </c>
      <c r="D39" s="94" t="s">
        <v>165</v>
      </c>
      <c r="E39" s="68"/>
      <c r="G39" s="67"/>
      <c r="H39" s="67"/>
      <c r="L39" s="63"/>
      <c r="M39" s="190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1476.4799999999814</v>
      </c>
      <c r="D40" s="80" t="s">
        <v>58</v>
      </c>
      <c r="E40" s="68"/>
      <c r="G40" s="67"/>
      <c r="H40" s="67"/>
      <c r="L40" s="63"/>
      <c r="M40" s="190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346769.85</v>
      </c>
      <c r="D41" s="80" t="s">
        <v>58</v>
      </c>
      <c r="E41" s="68"/>
      <c r="G41" s="67"/>
      <c r="H41" s="67"/>
      <c r="L41" s="63"/>
      <c r="M41" s="190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346769.85</v>
      </c>
      <c r="D42" s="80" t="s">
        <v>58</v>
      </c>
      <c r="E42" s="68"/>
      <c r="G42" s="67"/>
      <c r="H42" s="67"/>
      <c r="L42" s="63"/>
      <c r="M42" s="190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0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0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195928.94</v>
      </c>
      <c r="F45" s="94" t="s">
        <v>166</v>
      </c>
      <c r="G45" s="66"/>
      <c r="H45" s="66"/>
      <c r="L45" s="63"/>
      <c r="M45" s="190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14481.074648928308</v>
      </c>
      <c r="D46" s="94" t="s">
        <v>167</v>
      </c>
      <c r="E46" s="68"/>
      <c r="G46" s="67"/>
      <c r="H46" s="67"/>
      <c r="L46" s="63"/>
      <c r="M46" s="190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207604.26999999996</v>
      </c>
      <c r="D47" s="94" t="s">
        <v>165</v>
      </c>
      <c r="E47" s="68"/>
      <c r="G47" s="67"/>
      <c r="H47" s="67"/>
      <c r="L47" s="63"/>
      <c r="M47" s="190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90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195928.94</v>
      </c>
      <c r="D49" s="80" t="s">
        <v>58</v>
      </c>
      <c r="E49" s="68"/>
      <c r="G49" s="67"/>
      <c r="H49" s="67"/>
      <c r="L49" s="63"/>
      <c r="M49" s="190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195928.94</v>
      </c>
      <c r="D50" s="80" t="s">
        <v>58</v>
      </c>
      <c r="E50" s="68"/>
      <c r="G50" s="67"/>
      <c r="H50" s="67"/>
      <c r="L50" s="63"/>
      <c r="M50" s="190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0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0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227334.42999999996</v>
      </c>
      <c r="F53" s="94" t="s">
        <v>166</v>
      </c>
      <c r="G53" s="66"/>
      <c r="H53" s="66"/>
      <c r="L53" s="63"/>
      <c r="M53" s="190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14733.274789371353</v>
      </c>
      <c r="D54" s="94" t="s">
        <v>167</v>
      </c>
      <c r="E54" s="69"/>
      <c r="F54" s="89"/>
      <c r="G54" s="64"/>
      <c r="H54" s="64"/>
      <c r="L54" s="63"/>
      <c r="M54" s="190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237583.59999999992</v>
      </c>
      <c r="D55" s="94" t="s">
        <v>165</v>
      </c>
      <c r="E55" s="69"/>
      <c r="G55" s="64"/>
      <c r="H55" s="64"/>
      <c r="L55" s="63"/>
      <c r="M55" s="190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0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227334.42999999996</v>
      </c>
      <c r="D57" s="80" t="s">
        <v>58</v>
      </c>
      <c r="E57" s="69"/>
      <c r="G57" s="64"/>
      <c r="H57" s="64"/>
      <c r="L57" s="63"/>
      <c r="M57" s="190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227334.42999999996</v>
      </c>
      <c r="D58" s="80" t="s">
        <v>58</v>
      </c>
      <c r="E58" s="69"/>
      <c r="G58" s="64"/>
      <c r="H58" s="64"/>
      <c r="L58" s="63"/>
      <c r="M58" s="190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0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38772.699999999997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2021-03-23T08:10:13Z</dcterms:modified>
</cp:coreProperties>
</file>