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10" i="2" l="1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F94" i="1"/>
  <c r="K94" i="1"/>
  <c r="A115" i="1" l="1"/>
  <c r="D110" i="1"/>
  <c r="A101" i="1"/>
  <c r="A110" i="1"/>
  <c r="A112" i="1"/>
  <c r="A116" i="1"/>
  <c r="A111" i="1"/>
  <c r="A113" i="1"/>
  <c r="F110" i="1"/>
  <c r="A117" i="1"/>
  <c r="A118" i="1"/>
  <c r="A119" i="1"/>
  <c r="A123" i="1"/>
  <c r="D118" i="1"/>
  <c r="A120" i="1"/>
  <c r="A124" i="1"/>
  <c r="F118" i="1"/>
  <c r="A121" i="1"/>
  <c r="A125" i="1"/>
  <c r="A98" i="1"/>
  <c r="F134" i="1"/>
  <c r="A94" i="1"/>
  <c r="A95" i="1"/>
  <c r="A99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72" i="1"/>
  <c r="F178" i="1"/>
  <c r="H177" i="1"/>
  <c r="F167" i="1"/>
  <c r="H179" i="1"/>
  <c r="H171" i="1"/>
  <c r="F177" i="1"/>
  <c r="F171" i="1"/>
  <c r="H186" i="1"/>
  <c r="H167" i="1"/>
  <c r="H165" i="1"/>
  <c r="H170" i="1"/>
  <c r="F179" i="1"/>
  <c r="F170" i="1"/>
  <c r="F165" i="1"/>
  <c r="F186" i="1"/>
  <c r="F168" i="1"/>
  <c r="H173" i="1"/>
  <c r="F172" i="1"/>
  <c r="H164" i="1"/>
  <c r="H168" i="1"/>
  <c r="F173" i="1"/>
  <c r="F187" i="1"/>
  <c r="H166" i="1"/>
  <c r="F176" i="1"/>
  <c r="F175" i="1"/>
  <c r="F181" i="1"/>
  <c r="H184" i="1"/>
  <c r="F180" i="1"/>
  <c r="H17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<sst xmlns="http://schemas.openxmlformats.org/spreadsheetml/2006/main" count="586" uniqueCount="227">
  <si>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</si>
  <si>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</si>
  <si>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</si>
  <si>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</si>
  <si>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</si>
  <si>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</si>
  <si>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</si>
  <si>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</si>
  <si>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</si>
  <si>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</si>
  <si>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</si>
  <si>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</si>
  <si>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</si>
  <si>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</si>
  <si>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</si>
  <si>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</si>
  <si>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</si>
  <si>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</si>
  <si>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</si>
  <si>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</si>
  <si>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</si>
  <si>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</si>
  <si>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</si>
  <si>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</si>
  <si>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</si>
  <si>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</si>
  <si>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</si>
  <si>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</si>
  <si>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</si>
  <si>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</si>
  <si>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</si>
  <si>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</si>
  <si>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</si>
  <si>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</si>
  <si>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</si>
  <si>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</si>
  <si>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</si>
  <si>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</si>
  <si>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</si>
  <si>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</si>
  <si>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</si>
  <si>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</si>
  <si>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</si>
  <si>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</si>
  <si>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</si>
  <si>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</si>
  <si>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</si>
  <si>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</si>
  <si>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</si>
  <si>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</si>
  <si>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</si>
  <si>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</si>
  <si>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</si>
  <si>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</si>
  <si>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</si>
  <si>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</si>
  <si>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</si>
  <si>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</si>
  <si>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</si>
  <si>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</si>
  <si>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</si>
  <si>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</si>
  <si>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</si>
  <si>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</si>
  <si>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</si>
  <si>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</si>
  <si>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</si>
  <si>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</si>
  <si>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</si>
  <si>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</si>
  <si>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</si>
  <si>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</si>
  <si>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</si>
  <si>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</si>
  <si>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</si>
  <si>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</si>
  <si>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</si>
  <si>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</si>
  <si>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</si>
  <si>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</si>
  <si>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</si>
  <si>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</si>
  <si>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</si>
  <si>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</si>
  <si>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</si>
  <si>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</si>
  <si>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</si>
  <si>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</si>
  <si>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</si>
  <si>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</si>
  <si>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</si>
  <si>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</si>
  <si>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</si>
  <si>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</si>
  <si>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</si>
  <si>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</si>
  <si>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</si>
  <si>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</si>
  <si>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</si>
  <si>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</si>
  <si>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</si>
  <si>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</si>
  <si>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</si>
  <si>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</si>
  <si>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</si>
  <si>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</si>
  <si>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</si>
  <si>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</si>
  <si>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</si>
  <si>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</si>
  <si>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</si>
  <si>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</si>
  <si>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</si>
  <si>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</si>
  <si>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</si>
  <si>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</si>
  <si>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</si>
  <si>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</si>
  <si>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</si>
  <si>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</si>
  <si>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</si>
  <si>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</si>
  <si>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</si>
  <si>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</si>
  <si>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</si>
  <si>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</si>
  <si>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</si>
  <si>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</si>
  <si>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</si>
  <si>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</si>
  <si>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</si>
  <si>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</si>
  <si>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</si>
  <si>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</si>
  <si>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</si>
  <si>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</si>
  <si>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</si>
  <si>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</si>
  <si>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</si>
  <si>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</si>
  <si>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</si>
  <si>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</si>
  <si>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</si>
  <si>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</si>
  <si>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</si>
  <si>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</si>
  <si>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</si>
  <si>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</si>
  <si>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</si>
  <si>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</si>
  <si>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</si>
  <si>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</si>
  <si>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</si>
  <si>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</si>
  <si>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</si>
  <si>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</si>
  <si>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</si>
  <si>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</si>
  <si>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</si>
  <si>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</si>
  <si>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</si>
  <si>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</si>
  <si>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</si>
  <si>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</si>
  <si>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</si>
  <si>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</si>
  <si>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</si>
  <si>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</si>
  <si>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</si>
  <si>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</si>
  <si>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</si>
  <si>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</si>
  <si>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</si>
  <si>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</si>
  <si>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</si>
  <si>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</si>
  <si>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</si>
  <si>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</si>
  <si>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</si>
  <si>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</si>
  <si>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ежемесячно</t>
  </si>
  <si>
    <t>разово</t>
  </si>
  <si>
    <t>площадь дома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</si>
  <si>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</si>
  <si>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</si>
  <si>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</si>
  <si>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</si>
  <si>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ремонт асфальтного покрытия (трещины, ямы)  специализированной организацией</t>
  </si>
  <si>
    <t>Отчет об исполнении договора управления многоквартирного дома 
Байкальская, 305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</si>
  <si>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</si>
  <si>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</si>
  <si>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</si>
  <si>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</si>
  <si>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</si>
  <si>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Техническое обслуживание системы видеонаблюдения.</t>
  </si>
  <si>
    <t>Ремонтно-восстановительные работы системы пожарной сигнализации.</t>
  </si>
  <si>
    <t>Приобретение и установка таблички по пожарной безопасности.</t>
  </si>
  <si>
    <t>Приобретение новогодней гирлянды.</t>
  </si>
  <si>
    <t>Монтаж дополнительных камер системы видеонаблюдения.</t>
  </si>
  <si>
    <t>Замена кнопки выхода системы домофон.</t>
  </si>
  <si>
    <t>АВР 6/20 от 24.04.2020, счет от 12.03.2020</t>
  </si>
  <si>
    <t>Изготовление и монтаж дорожных знаков.</t>
  </si>
  <si>
    <t>АВР 1/20 от 17.01.2020, счет №In/O-0180172 от 27.11.2019</t>
  </si>
  <si>
    <t>АВР 2/20 от 25.02.2020, Решение, счет №10328а от 25.02.2020</t>
  </si>
  <si>
    <t>АВР 3/20 от 25.02.2020, Решение, счет №61 от 25.02.2020</t>
  </si>
  <si>
    <t>АВР 5/20 от 10.03.2020, счет №44 от 28.02.2020</t>
  </si>
  <si>
    <t>АВР 7/20 от 13.05.2020, Решение, счет №18139 от 17.03.2020</t>
  </si>
  <si>
    <t>Благоустройство придомовой территории (приобретение чернозема).</t>
  </si>
  <si>
    <t>АВР 8/20 от 03.06.2020, Решение</t>
  </si>
  <si>
    <t>АВР 4/20 от 10.04.2020, Решение, счет №105 от 04.03.2020</t>
  </si>
  <si>
    <t>АВР 9/20 от 02.07.2020, Решение, счет №025 от 26.03.2020</t>
  </si>
  <si>
    <t>Изготовление и монтаж номерков на почтовые ящики.</t>
  </si>
  <si>
    <t>Изготовление и монтаж резинопола на крыльцо.</t>
  </si>
  <si>
    <t>Испытание ограждений кровли крыши.</t>
  </si>
  <si>
    <t>АВР 10/20 от 09.09.2020, Решение, счет №980 от 07.07.2020</t>
  </si>
  <si>
    <t>Приобретение и монтаж доводчиков на двери (переход на незадымляемую лестницу, 6 шт.)</t>
  </si>
  <si>
    <t>АВР 11/20 от 10.10.2020, Решение</t>
  </si>
  <si>
    <t>АВР 12/20 от 29.12.2020, счет №1737 от 03.08.2020</t>
  </si>
  <si>
    <t>Ремонт прибора учета тепловой энергии.</t>
  </si>
  <si>
    <t>АВР 13/20 от 29.12.2020, счет №205 от 17.08.2020</t>
  </si>
  <si>
    <t>АВР 14/20 от 29.12.2020, счет №1749 от 03.08.2020</t>
  </si>
  <si>
    <t>АВР 15/20 от 29.12.2020</t>
  </si>
  <si>
    <t>АВР 16/20 от 29.12.2020, с сентября 2019</t>
  </si>
  <si>
    <t xml:space="preserve">  -  монтаж видео камер на лифтовых площадках 15 шт.</t>
  </si>
  <si>
    <t xml:space="preserve">  -  замена светильников на лестничном марше</t>
  </si>
  <si>
    <t>Приобретение и установка пожарных рукавов и стволов (4 шт.)</t>
  </si>
  <si>
    <t>Изготовление и монтаж тамбурной двери.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</si>
</sst>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</cellStyleXfs>
  <cellXfs count="197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25" fillId="0" borderId="0" xfId="0" applyNumberFormat="1" applyFont="1" applyFill="1"/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33" fillId="0" borderId="0" xfId="5" applyFont="1" applyFill="1" applyBorder="1" applyAlignment="1"/>
    <xf numFmtId="0" fontId="19" fillId="0" borderId="0" xfId="6" applyFill="1" applyBorder="1" applyAlignment="1">
      <alignment horizontal="center"/>
    </xf>
    <xf numFmtId="0" fontId="33" fillId="0" borderId="0" xfId="6" applyFont="1" applyFill="1" applyBorder="1" applyAlignment="1">
      <alignment horizontal="center"/>
    </xf>
    <xf numFmtId="4" fontId="33" fillId="0" borderId="0" xfId="6" applyNumberFormat="1" applyFont="1" applyFill="1" applyBorder="1" applyAlignment="1"/>
    <xf numFmtId="4" fontId="19" fillId="0" borderId="0" xfId="6" applyNumberFormat="1" applyFill="1" applyBorder="1" applyAlignment="1"/>
    <xf numFmtId="0" fontId="0" fillId="0" borderId="0" xfId="0" applyFont="1"/>
    <xf numFmtId="0" fontId="0" fillId="0" borderId="0" xfId="0" applyFill="1"/>
    <xf numFmtId="4" fontId="33" fillId="0" borderId="0" xfId="0" applyNumberFormat="1" applyFont="1" applyFill="1" applyBorder="1" applyAlignment="1"/>
    <xf numFmtId="4" fontId="33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18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6" fillId="0" borderId="0" xfId="0" applyFont="1" applyBorder="1" applyAlignment="1">
      <alignment wrapText="1"/>
    </xf>
    <xf numFmtId="4" fontId="25" fillId="0" borderId="0" xfId="0" applyNumberFormat="1" applyFont="1" applyBorder="1"/>
    <xf numFmtId="0" fontId="17" fillId="0" borderId="0" xfId="2" applyFont="1" applyFill="1" applyBorder="1" applyAlignment="1"/>
    <xf numFmtId="0" fontId="16" fillId="0" borderId="0" xfId="5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4" fillId="0" borderId="0" xfId="7" applyFont="1" applyFill="1" applyBorder="1" applyAlignment="1">
      <alignment wrapText="1"/>
    </xf>
    <xf numFmtId="0" fontId="14" fillId="0" borderId="0" xfId="7" applyFont="1" applyFill="1" applyBorder="1" applyAlignment="1">
      <alignment horizontal="center"/>
    </xf>
    <xf numFmtId="1" fontId="14" fillId="0" borderId="0" xfId="7" applyNumberFormat="1" applyFill="1" applyBorder="1" applyAlignment="1">
      <alignment horizontal="center"/>
    </xf>
    <xf numFmtId="4" fontId="33" fillId="0" borderId="0" xfId="7" applyNumberFormat="1" applyFont="1" applyFill="1" applyBorder="1" applyAlignment="1"/>
    <xf numFmtId="0" fontId="10" fillId="0" borderId="0" xfId="8" applyFont="1" applyFill="1"/>
    <xf numFmtId="0" fontId="16" fillId="0" borderId="0" xfId="6" applyFont="1" applyFill="1" applyBorder="1" applyAlignment="1">
      <alignment horizontal="center"/>
    </xf>
    <xf numFmtId="0" fontId="0" fillId="0" borderId="0" xfId="0" applyFont="1" applyFill="1"/>
    <xf numFmtId="0" fontId="15" fillId="0" borderId="0" xfId="5" applyFont="1" applyFill="1" applyBorder="1" applyAlignment="1"/>
    <xf numFmtId="0" fontId="15" fillId="0" borderId="0" xfId="6" applyFont="1" applyFill="1" applyBorder="1" applyAlignment="1">
      <alignment horizontal="center"/>
    </xf>
    <xf numFmtId="0" fontId="12" fillId="0" borderId="0" xfId="5" applyFont="1" applyFill="1" applyBorder="1" applyAlignment="1"/>
    <xf numFmtId="0" fontId="12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1" fillId="0" borderId="0" xfId="5" applyFont="1" applyFill="1" applyBorder="1" applyAlignment="1"/>
    <xf numFmtId="0" fontId="9" fillId="0" borderId="0" xfId="6" applyFont="1" applyFill="1" applyBorder="1" applyAlignment="1"/>
    <xf numFmtId="0" fontId="9" fillId="0" borderId="0" xfId="6" applyFont="1" applyFill="1" applyBorder="1" applyAlignment="1">
      <alignment horizontal="center"/>
    </xf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8" fillId="0" borderId="0" xfId="5" applyFont="1" applyFill="1" applyBorder="1" applyAlignment="1"/>
    <xf numFmtId="0" fontId="43" fillId="0" borderId="0" xfId="5" applyFont="1" applyFill="1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6" fillId="0" borderId="0" xfId="5" applyFont="1" applyFill="1" applyBorder="1" applyAlignment="1"/>
    <xf numFmtId="0" fontId="2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0" fontId="4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1" fillId="0" borderId="0" xfId="5" applyFont="1" applyFill="1" applyBorder="1" applyAlignment="1"/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6" xfId="9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91" sqref="H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7" t="s">
        <v>176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4" t="s">
        <v>2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9"/>
      <c r="L8" s="188"/>
      <c r="M8" s="109"/>
      <c r="N8" s="109"/>
      <c r="O8" s="70" t="s">
        <v>82</v>
      </c>
      <c r="R8" s="16"/>
    </row>
    <row r="9" spans="1:18" ht="18.75" customHeight="1" outlineLevel="1">
      <c r="A9" s="184" t="s">
        <v>3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9"/>
      <c r="L9" s="188"/>
      <c r="M9" s="109"/>
      <c r="N9" s="109"/>
      <c r="O9" s="70" t="s">
        <v>83</v>
      </c>
    </row>
    <row r="10" spans="1:18" ht="18.75" customHeight="1" outlineLevel="1">
      <c r="A10" s="184" t="s">
        <v>4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1531895.9699999997</v>
      </c>
      <c r="K10" s="109"/>
      <c r="L10" s="188"/>
      <c r="M10" s="109"/>
      <c r="N10" s="109"/>
      <c r="O10" s="70" t="s">
        <v>84</v>
      </c>
    </row>
    <row r="11" spans="1:18" outlineLevel="1">
      <c r="A11" s="184" t="s">
        <v>5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2012926.7799999996</v>
      </c>
      <c r="K11" s="109"/>
      <c r="L11" s="188"/>
      <c r="M11" s="109"/>
      <c r="N11" s="109"/>
      <c r="O11" s="70" t="s">
        <v>85</v>
      </c>
    </row>
    <row r="12" spans="1:18" ht="18.75" customHeight="1" outlineLevel="1">
      <c r="A12" s="184" t="s">
        <v>6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1650670.7799999996</v>
      </c>
      <c r="K12" s="109"/>
      <c r="L12" s="188"/>
      <c r="M12" s="109"/>
      <c r="N12" s="109"/>
      <c r="O12" s="70" t="s">
        <v>86</v>
      </c>
    </row>
    <row r="13" spans="1:18" ht="18.75" customHeight="1" outlineLevel="1">
      <c r="A13" s="184" t="s">
        <v>7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362256</v>
      </c>
      <c r="K13" s="109"/>
      <c r="L13" s="188"/>
      <c r="M13" s="109"/>
      <c r="N13" s="109"/>
      <c r="O13" s="70" t="s">
        <v>87</v>
      </c>
    </row>
    <row r="14" spans="1:18" ht="18.75" customHeight="1" outlineLevel="1">
      <c r="A14" s="184" t="s">
        <v>8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0</v>
      </c>
      <c r="K14" s="109"/>
      <c r="L14" s="188"/>
      <c r="M14" s="109"/>
      <c r="N14" s="109"/>
      <c r="O14" s="70" t="s">
        <v>88</v>
      </c>
    </row>
    <row r="15" spans="1:18" ht="18.75" customHeight="1" outlineLevel="1">
      <c r="A15" s="184" t="s">
        <v>9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1982308.34</v>
      </c>
      <c r="K15" s="109"/>
      <c r="L15" s="188"/>
      <c r="M15" s="109"/>
      <c r="N15" s="109"/>
      <c r="O15" s="70" t="s">
        <v>89</v>
      </c>
    </row>
    <row r="16" spans="1:18" ht="18.75" customHeight="1" outlineLevel="1">
      <c r="A16" s="184" t="s">
        <v>10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1982308.34</v>
      </c>
      <c r="K16" s="109"/>
      <c r="L16" s="188"/>
      <c r="M16" s="109"/>
      <c r="N16" s="109"/>
      <c r="O16" s="70" t="s">
        <v>90</v>
      </c>
    </row>
    <row r="17" spans="1:23" ht="18.75" customHeight="1" outlineLevel="1">
      <c r="A17" s="184" t="s">
        <v>11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9"/>
      <c r="L17" s="188"/>
      <c r="M17" s="109"/>
      <c r="N17" s="109"/>
      <c r="O17" s="70" t="s">
        <v>91</v>
      </c>
    </row>
    <row r="18" spans="1:23" ht="18.75" customHeight="1" outlineLevel="1">
      <c r="A18" s="184" t="s">
        <v>12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9"/>
      <c r="L18" s="188"/>
      <c r="M18" s="109"/>
      <c r="N18" s="109"/>
      <c r="O18" s="70" t="s">
        <v>92</v>
      </c>
    </row>
    <row r="19" spans="1:23" ht="18.75" customHeight="1" outlineLevel="1">
      <c r="A19" s="184" t="s">
        <v>13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9"/>
      <c r="L19" s="188"/>
      <c r="M19" s="109"/>
      <c r="N19" s="109"/>
      <c r="O19" s="70" t="s">
        <v>93</v>
      </c>
    </row>
    <row r="20" spans="1:23" ht="18.75" customHeight="1" outlineLevel="1">
      <c r="A20" s="184" t="s">
        <v>14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9"/>
      <c r="L20" s="188"/>
      <c r="M20" s="109"/>
      <c r="N20" s="109"/>
      <c r="O20" s="70" t="s">
        <v>94</v>
      </c>
    </row>
    <row r="21" spans="1:23" ht="18.75" customHeight="1" outlineLevel="1">
      <c r="A21" s="184" t="s">
        <v>15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1982308.34</v>
      </c>
      <c r="K21" s="109"/>
      <c r="L21" s="188"/>
      <c r="M21" s="109"/>
      <c r="N21" s="109"/>
      <c r="O21" s="70" t="s">
        <v>95</v>
      </c>
    </row>
    <row r="22" spans="1:23" ht="18.75" customHeight="1" outlineLevel="1">
      <c r="A22" s="184" t="s">
        <v>16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0</v>
      </c>
      <c r="K22" s="109"/>
      <c r="L22" s="188"/>
      <c r="M22" s="109"/>
      <c r="N22" s="109"/>
      <c r="O22" s="70" t="s">
        <v>96</v>
      </c>
    </row>
    <row r="23" spans="1:23" ht="18.75" customHeight="1" outlineLevel="1">
      <c r="A23" s="184" t="s">
        <v>17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9"/>
      <c r="L23" s="188"/>
      <c r="M23" s="109"/>
      <c r="N23" s="109"/>
      <c r="O23" s="70" t="s">
        <v>97</v>
      </c>
    </row>
    <row r="24" spans="1:23" ht="18.75" customHeight="1" outlineLevel="1">
      <c r="A24" s="184" t="s">
        <v>18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1562514.409999999</v>
      </c>
      <c r="K24" s="109"/>
      <c r="L24" s="188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66">
        <f>VLOOKUP(A28,ПТО!$A$39:$D$53,2,FALSE)</f>
        <v>556968.6</v>
      </c>
      <c r="G28" s="166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66">
        <f>VLOOKUP(A29,ПТО!$A$39:$D$53,2,FALSE)</f>
        <v>169354.68</v>
      </c>
      <c r="G29" s="166"/>
      <c r="H29" s="42" t="str">
        <f>VLOOKUP(A29,ПТО!$A$39:$D$53,3,FALSE)</f>
        <v>Ежемесячно</v>
      </c>
      <c r="I29" s="167">
        <f>VLOOKUP(A29,ПТО!$A$39:$D$53,4,FALSE)</f>
        <v>12</v>
      </c>
      <c r="J29" s="167"/>
      <c r="K29" s="109"/>
      <c r="L29" s="18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66">
        <f>VLOOKUP(A30,ПТО!$A$39:$D$53,2,FALSE)</f>
        <v>79696.320000000007</v>
      </c>
      <c r="G30" s="166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66">
        <f>VLOOKUP(A31,ПТО!$A$39:$D$53,2,FALSE)</f>
        <v>108676.8</v>
      </c>
      <c r="G31" s="166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66">
        <f>VLOOKUP(A33,ПТО!$A$39:$D$53,2,FALSE)</f>
        <v>70639.92</v>
      </c>
      <c r="G33" s="166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66">
        <f>VLOOKUP(A34,ПТО!$A$39:$D$53,2,FALSE)</f>
        <v>201052.08</v>
      </c>
      <c r="G34" s="166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Работы (услуги) по управлению многоквартирным домом</v>
      </c>
      <c r="B35" s="165"/>
      <c r="C35" s="165"/>
      <c r="D35" s="165"/>
      <c r="E35" s="165"/>
      <c r="F35" s="166">
        <f>VLOOKUP(A35,ПТО!$A$39:$D$53,2,FALSE)</f>
        <v>452820</v>
      </c>
      <c r="G35" s="166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9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9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9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9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9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9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9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9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освидетельствование лифтов.</v>
      </c>
      <c r="B43" s="165"/>
      <c r="C43" s="165"/>
      <c r="D43" s="165"/>
      <c r="E43" s="165"/>
      <c r="F43" s="166">
        <f>VLOOKUP(A43,ПТО!$A$2:$D$31,4,FALSE)</f>
        <v>16200</v>
      </c>
      <c r="G43" s="166"/>
      <c r="H43" s="19" t="str">
        <f>VLOOKUP(A43,ПТО!$A$2:$D$31,2,FALSE)</f>
        <v>ежегодно</v>
      </c>
      <c r="I43" s="167">
        <f>VLOOKUP(A43,ПТО!$A$2:$D$31,3,FALSE)</f>
        <v>2</v>
      </c>
      <c r="J43" s="167"/>
      <c r="K43" s="109"/>
      <c r="L43" s="189"/>
      <c r="M43" s="116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5" t="str">
        <f>ПТО!A3</f>
        <v>Техническое обслуживание системы видеонаблюдения.</v>
      </c>
      <c r="B44" s="165"/>
      <c r="C44" s="165"/>
      <c r="D44" s="165"/>
      <c r="E44" s="165"/>
      <c r="F44" s="166">
        <f>VLOOKUP(A44,ПТО!$A$2:$D$31,4,FALSE)</f>
        <v>20400</v>
      </c>
      <c r="G44" s="166"/>
      <c r="H44" s="25" t="str">
        <f>VLOOKUP(A44,ПТО!$A$2:$D$31,2,FALSE)</f>
        <v>ежемесячно</v>
      </c>
      <c r="I44" s="167">
        <f>VLOOKUP(A44,ПТО!$A$2:$D$31,3,FALSE)</f>
        <v>12</v>
      </c>
      <c r="J44" s="167"/>
      <c r="K44" s="109"/>
      <c r="L44" s="189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65" t="str">
        <f>ПТО!A4</f>
        <v>Приобретение новогодней гирлянды.</v>
      </c>
      <c r="B45" s="165"/>
      <c r="C45" s="165"/>
      <c r="D45" s="165"/>
      <c r="E45" s="165"/>
      <c r="F45" s="166">
        <f>VLOOKUP(A45,ПТО!$A$2:$D$31,4,FALSE)</f>
        <v>484</v>
      </c>
      <c r="G45" s="166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9"/>
      <c r="M45" s="116"/>
      <c r="N45" s="109"/>
      <c r="O45" s="23" t="str">
        <f t="shared" si="1"/>
        <v>Приобретение новогодней гирлянды.</v>
      </c>
      <c r="R45" s="22" t="s">
        <v>72</v>
      </c>
    </row>
    <row r="46" spans="1:18" ht="51" customHeight="1" outlineLevel="1">
      <c r="A46" s="165" t="str">
        <f>ПТО!A5</f>
        <v>Изготовление и монтаж тамбурной двери.</v>
      </c>
      <c r="B46" s="165"/>
      <c r="C46" s="165"/>
      <c r="D46" s="165"/>
      <c r="E46" s="165"/>
      <c r="F46" s="166">
        <f>VLOOKUP(A46,ПТО!$A$2:$D$31,4,FALSE)</f>
        <v>54368.56</v>
      </c>
      <c r="G46" s="166"/>
      <c r="H46" s="25" t="str">
        <f>VLOOKUP(A46,ПТО!$A$2:$D$31,2,FALSE)</f>
        <v>разово</v>
      </c>
      <c r="I46" s="167">
        <f>VLOOKUP(A46,ПТО!$A$2:$D$31,3,FALSE)</f>
        <v>2</v>
      </c>
      <c r="J46" s="167"/>
      <c r="K46" s="109"/>
      <c r="L46" s="189"/>
      <c r="M46" s="116"/>
      <c r="N46" s="109"/>
      <c r="O46" s="23" t="str">
        <f t="shared" si="1"/>
        <v>Изготовление и монтаж тамбурной двери.</v>
      </c>
      <c r="R46" s="22" t="s">
        <v>72</v>
      </c>
    </row>
    <row r="47" spans="1:18" ht="51" customHeight="1" outlineLevel="1">
      <c r="A47" s="165" t="str">
        <f>ПТО!A6</f>
        <v>Ремонтно-восстановительные работы системы пожарной сигнализации.</v>
      </c>
      <c r="B47" s="165"/>
      <c r="C47" s="165"/>
      <c r="D47" s="165"/>
      <c r="E47" s="165"/>
      <c r="F47" s="166">
        <f>VLOOKUP(A47,ПТО!$A$2:$D$31,4,FALSE)</f>
        <v>7292.74</v>
      </c>
      <c r="G47" s="166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9"/>
      <c r="M47" s="116"/>
      <c r="N47" s="109"/>
      <c r="O47" s="23" t="str">
        <f t="shared" si="1"/>
        <v>Ремонтно-восстановительные работы системы пожарной сигнализации.</v>
      </c>
      <c r="R47" s="22" t="s">
        <v>72</v>
      </c>
    </row>
    <row r="48" spans="1:18" ht="51" customHeight="1" outlineLevel="1">
      <c r="A48" s="165" t="str">
        <f>ПТО!A7</f>
        <v>Монтаж дополнительных камер системы видеонаблюдения.</v>
      </c>
      <c r="B48" s="165"/>
      <c r="C48" s="165"/>
      <c r="D48" s="165"/>
      <c r="E48" s="165"/>
      <c r="F48" s="166">
        <f>VLOOKUP(A48,ПТО!$A$2:$D$31,4,FALSE)</f>
        <v>35297.800000000003</v>
      </c>
      <c r="G48" s="166"/>
      <c r="H48" s="25" t="str">
        <f>VLOOKUP(A48,ПТО!$A$2:$D$31,2,FALSE)</f>
        <v>разово</v>
      </c>
      <c r="I48" s="167">
        <f>VLOOKUP(A48,ПТО!$A$2:$D$31,3,FALSE)</f>
        <v>1</v>
      </c>
      <c r="J48" s="167"/>
      <c r="K48" s="109"/>
      <c r="L48" s="189"/>
      <c r="M48" s="116"/>
      <c r="N48" s="109"/>
      <c r="O48" s="23" t="str">
        <f t="shared" si="1"/>
        <v>Монтаж дополнительных камер системы видеонаблюдения.</v>
      </c>
      <c r="R48" s="22" t="s">
        <v>72</v>
      </c>
    </row>
    <row r="49" spans="1:18" ht="51" customHeight="1" outlineLevel="1">
      <c r="A49" s="165" t="str">
        <f>ПТО!A8</f>
        <v>Замена кнопки выхода системы домофон.</v>
      </c>
      <c r="B49" s="165"/>
      <c r="C49" s="165"/>
      <c r="D49" s="165"/>
      <c r="E49" s="165"/>
      <c r="F49" s="166">
        <f>VLOOKUP(A49,ПТО!$A$2:$D$31,4,FALSE)</f>
        <v>2300</v>
      </c>
      <c r="G49" s="166"/>
      <c r="H49" s="25" t="str">
        <f>VLOOKUP(A49,ПТО!$A$2:$D$31,2,FALSE)</f>
        <v>разово</v>
      </c>
      <c r="I49" s="167">
        <f>VLOOKUP(A49,ПТО!$A$2:$D$31,3,FALSE)</f>
        <v>1</v>
      </c>
      <c r="J49" s="167"/>
      <c r="K49" s="109"/>
      <c r="L49" s="189"/>
      <c r="M49" s="116"/>
      <c r="N49" s="109"/>
      <c r="O49" s="23" t="str">
        <f t="shared" si="1"/>
        <v>Замена кнопки выхода системы домофон.</v>
      </c>
      <c r="R49" s="22" t="s">
        <v>72</v>
      </c>
    </row>
    <row r="50" spans="1:18" ht="51" customHeight="1" outlineLevel="1">
      <c r="A50" s="165" t="str">
        <f>ПТО!A9</f>
        <v>Приобретение и установка таблички по пожарной безопасности.</v>
      </c>
      <c r="B50" s="165"/>
      <c r="C50" s="165"/>
      <c r="D50" s="165"/>
      <c r="E50" s="165"/>
      <c r="F50" s="166">
        <f>VLOOKUP(A50,ПТО!$A$2:$D$31,4,FALSE)</f>
        <v>250</v>
      </c>
      <c r="G50" s="166"/>
      <c r="H50" s="25" t="str">
        <f>VLOOKUP(A50,ПТО!$A$2:$D$31,2,FALSE)</f>
        <v>разово</v>
      </c>
      <c r="I50" s="167">
        <f>VLOOKUP(A50,ПТО!$A$2:$D$31,3,FALSE)</f>
        <v>1</v>
      </c>
      <c r="J50" s="167"/>
      <c r="K50" s="109"/>
      <c r="L50" s="189"/>
      <c r="M50" s="116"/>
      <c r="N50" s="109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65" t="str">
        <f>ПТО!A10</f>
        <v>Изготовление и монтаж дорожных знаков.</v>
      </c>
      <c r="B51" s="165"/>
      <c r="C51" s="165"/>
      <c r="D51" s="165"/>
      <c r="E51" s="165"/>
      <c r="F51" s="166">
        <f>VLOOKUP(A51,ПТО!$A$2:$D$31,4,FALSE)</f>
        <v>11499.8</v>
      </c>
      <c r="G51" s="166"/>
      <c r="H51" s="25" t="str">
        <f>VLOOKUP(A51,ПТО!$A$2:$D$31,2,FALSE)</f>
        <v>разово</v>
      </c>
      <c r="I51" s="167">
        <f>VLOOKUP(A51,ПТО!$A$2:$D$31,3,FALSE)</f>
        <v>1</v>
      </c>
      <c r="J51" s="167"/>
      <c r="K51" s="109"/>
      <c r="L51" s="189"/>
      <c r="M51" s="116"/>
      <c r="N51" s="109"/>
      <c r="O51" s="23" t="str">
        <f t="shared" si="1"/>
        <v>Изготовление и монтаж дорожных знаков.</v>
      </c>
      <c r="R51" s="22" t="s">
        <v>72</v>
      </c>
    </row>
    <row r="52" spans="1:18" ht="51" customHeight="1" outlineLevel="1">
      <c r="A52" s="165" t="str">
        <f>ПТО!A11</f>
        <v>Благоустройство придомовой территории (приобретение чернозема).</v>
      </c>
      <c r="B52" s="165"/>
      <c r="C52" s="165"/>
      <c r="D52" s="165"/>
      <c r="E52" s="165"/>
      <c r="F52" s="166">
        <f>VLOOKUP(A52,ПТО!$A$2:$D$31,4,FALSE)</f>
        <v>4500</v>
      </c>
      <c r="G52" s="166"/>
      <c r="H52" s="25" t="str">
        <f>VLOOKUP(A52,ПТО!$A$2:$D$31,2,FALSE)</f>
        <v>разово</v>
      </c>
      <c r="I52" s="167">
        <f>VLOOKUP(A52,ПТО!$A$2:$D$31,3,FALSE)</f>
        <v>1</v>
      </c>
      <c r="J52" s="167"/>
      <c r="K52" s="109"/>
      <c r="L52" s="189"/>
      <c r="M52" s="116"/>
      <c r="N52" s="109"/>
      <c r="O52" s="23" t="str">
        <f t="shared" si="1"/>
        <v>Благоустройство придомовой территории (приобретение чернозема).</v>
      </c>
      <c r="R52" s="22" t="s">
        <v>72</v>
      </c>
    </row>
    <row r="53" spans="1:18" ht="51" customHeight="1" outlineLevel="1">
      <c r="A53" s="165" t="str">
        <f>ПТО!A12</f>
        <v>Изготовление и монтаж номерков на почтовые ящики.</v>
      </c>
      <c r="B53" s="165"/>
      <c r="C53" s="165"/>
      <c r="D53" s="165"/>
      <c r="E53" s="165"/>
      <c r="F53" s="166">
        <f>VLOOKUP(A53,ПТО!$A$2:$D$31,4,FALSE)</f>
        <v>6060</v>
      </c>
      <c r="G53" s="166"/>
      <c r="H53" s="25" t="str">
        <f>VLOOKUP(A53,ПТО!$A$2:$D$31,2,FALSE)</f>
        <v>разово</v>
      </c>
      <c r="I53" s="167">
        <f>VLOOKUP(A53,ПТО!$A$2:$D$31,3,FALSE)</f>
        <v>1</v>
      </c>
      <c r="J53" s="167"/>
      <c r="K53" s="109"/>
      <c r="L53" s="189"/>
      <c r="M53" s="116"/>
      <c r="N53" s="109"/>
      <c r="O53" s="23" t="str">
        <f t="shared" si="1"/>
        <v>Изготовление и монтаж номерков на почтовые ящики.</v>
      </c>
      <c r="R53" s="22" t="s">
        <v>72</v>
      </c>
    </row>
    <row r="54" spans="1:18" ht="51" customHeight="1" outlineLevel="1">
      <c r="A54" s="165" t="str">
        <f>ПТО!A13</f>
        <v>Изготовление и монтаж резинопола на крыльцо.</v>
      </c>
      <c r="B54" s="165"/>
      <c r="C54" s="165"/>
      <c r="D54" s="165"/>
      <c r="E54" s="165"/>
      <c r="F54" s="166">
        <f>VLOOKUP(A54,ПТО!$A$2:$D$31,4,FALSE)</f>
        <v>110710</v>
      </c>
      <c r="G54" s="166"/>
      <c r="H54" s="25" t="str">
        <f>VLOOKUP(A54,ПТО!$A$2:$D$31,2,FALSE)</f>
        <v>разово</v>
      </c>
      <c r="I54" s="167">
        <f>VLOOKUP(A54,ПТО!$A$2:$D$31,3,FALSE)</f>
        <v>1</v>
      </c>
      <c r="J54" s="167"/>
      <c r="K54" s="109"/>
      <c r="L54" s="189"/>
      <c r="M54" s="116"/>
      <c r="N54" s="109"/>
      <c r="O54" s="23" t="str">
        <f t="shared" si="1"/>
        <v>Изготовление и монтаж резинопола на крыльцо.</v>
      </c>
      <c r="R54" s="22" t="s">
        <v>72</v>
      </c>
    </row>
    <row r="55" spans="1:18" ht="51" customHeight="1" outlineLevel="1">
      <c r="A55" s="165" t="str">
        <f>ПТО!A14</f>
        <v>Приобретение и монтаж доводчиков на двери (переход на незадымляемую лестницу, 6 шт.)</v>
      </c>
      <c r="B55" s="165"/>
      <c r="C55" s="165"/>
      <c r="D55" s="165"/>
      <c r="E55" s="165"/>
      <c r="F55" s="166">
        <f>VLOOKUP(A55,ПТО!$A$2:$D$31,4,FALSE)</f>
        <v>7800</v>
      </c>
      <c r="G55" s="166"/>
      <c r="H55" s="25" t="str">
        <f>VLOOKUP(A55,ПТО!$A$2:$D$31,2,FALSE)</f>
        <v>разово</v>
      </c>
      <c r="I55" s="167">
        <f>VLOOKUP(A55,ПТО!$A$2:$D$31,3,FALSE)</f>
        <v>1</v>
      </c>
      <c r="J55" s="167"/>
      <c r="K55" s="109"/>
      <c r="L55" s="189"/>
      <c r="M55" s="116"/>
      <c r="N55" s="109"/>
      <c r="O55" s="23" t="str">
        <f t="shared" si="1"/>
        <v>Приобретение и монтаж доводчиков на двери (переход на незадымляемую лестницу, 6 шт.)</v>
      </c>
      <c r="R55" s="22" t="s">
        <v>72</v>
      </c>
    </row>
    <row r="56" spans="1:18" ht="51" customHeight="1" outlineLevel="1">
      <c r="A56" s="165" t="str">
        <f>ПТО!A15</f>
        <v>Испытание ограждений кровли крыши.</v>
      </c>
      <c r="B56" s="165"/>
      <c r="C56" s="165"/>
      <c r="D56" s="165"/>
      <c r="E56" s="165"/>
      <c r="F56" s="166">
        <f>VLOOKUP(A56,ПТО!$A$2:$D$31,4,FALSE)</f>
        <v>8050</v>
      </c>
      <c r="G56" s="166"/>
      <c r="H56" s="25" t="str">
        <f>VLOOKUP(A56,ПТО!$A$2:$D$31,2,FALSE)</f>
        <v>разово</v>
      </c>
      <c r="I56" s="167">
        <f>VLOOKUP(A56,ПТО!$A$2:$D$31,3,FALSE)</f>
        <v>1</v>
      </c>
      <c r="J56" s="167"/>
      <c r="K56" s="109"/>
      <c r="L56" s="189"/>
      <c r="M56" s="116"/>
      <c r="N56" s="109"/>
      <c r="O56" s="23" t="str">
        <f t="shared" si="1"/>
        <v>Испытание ограждений кровли крыши.</v>
      </c>
      <c r="R56" s="22" t="s">
        <v>72</v>
      </c>
    </row>
    <row r="57" spans="1:18" ht="51" customHeight="1" outlineLevel="1">
      <c r="A57" s="165" t="str">
        <f>ПТО!A16</f>
        <v>Ремонт прибора учета тепловой энергии.</v>
      </c>
      <c r="B57" s="165"/>
      <c r="C57" s="165"/>
      <c r="D57" s="165"/>
      <c r="E57" s="165"/>
      <c r="F57" s="166">
        <f>VLOOKUP(A57,ПТО!$A$2:$D$31,4,FALSE)</f>
        <v>5428</v>
      </c>
      <c r="G57" s="166"/>
      <c r="H57" s="25" t="str">
        <f>VLOOKUP(A57,ПТО!$A$2:$D$31,2,FALSE)</f>
        <v>разово</v>
      </c>
      <c r="I57" s="167">
        <f>VLOOKUP(A57,ПТО!$A$2:$D$31,3,FALSE)</f>
        <v>1</v>
      </c>
      <c r="J57" s="167"/>
      <c r="K57" s="109"/>
      <c r="L57" s="189"/>
      <c r="M57" s="116"/>
      <c r="N57" s="109"/>
      <c r="O57" s="23" t="str">
        <f t="shared" si="1"/>
        <v>Ремонт прибора учета тепловой энергии.</v>
      </c>
      <c r="R57" s="22" t="s">
        <v>72</v>
      </c>
    </row>
    <row r="58" spans="1:18" ht="51" customHeight="1" outlineLevel="1">
      <c r="A58" s="165" t="str">
        <f>ПТО!A17</f>
        <v>Приобретение и установка пожарных рукавов и стволов (4 шт.)</v>
      </c>
      <c r="B58" s="165"/>
      <c r="C58" s="165"/>
      <c r="D58" s="165"/>
      <c r="E58" s="165"/>
      <c r="F58" s="166">
        <f>VLOOKUP(A58,ПТО!$A$2:$D$31,4,FALSE)</f>
        <v>5836</v>
      </c>
      <c r="G58" s="166"/>
      <c r="H58" s="25" t="str">
        <f>VLOOKUP(A58,ПТО!$A$2:$D$31,2,FALSE)</f>
        <v>разово</v>
      </c>
      <c r="I58" s="167">
        <f>VLOOKUP(A58,ПТО!$A$2:$D$31,3,FALSE)</f>
        <v>1</v>
      </c>
      <c r="J58" s="167"/>
      <c r="K58" s="109"/>
      <c r="L58" s="189"/>
      <c r="M58" s="116"/>
      <c r="N58" s="109"/>
      <c r="O58" s="23" t="str">
        <f t="shared" si="1"/>
        <v>Приобретение и установка пожарных рукавов и стволов (4 шт.)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9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9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9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9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9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9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9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9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9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9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9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9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6"/>
      <c r="L71" s="189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9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72"/>
      <c r="M75" s="109"/>
      <c r="N75" s="109"/>
      <c r="O75" s="70" t="s">
        <v>99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72"/>
      <c r="M76" s="109"/>
      <c r="N76" s="109"/>
      <c r="O76" s="70" t="s">
        <v>100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72"/>
      <c r="M77" s="109"/>
      <c r="N77" s="109"/>
      <c r="O77" s="70" t="s">
        <v>101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72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3" t="s">
        <v>2</v>
      </c>
      <c r="B81" s="173"/>
      <c r="C81" s="173"/>
      <c r="D81" s="173"/>
      <c r="E81" s="173"/>
      <c r="F81" s="173"/>
      <c r="G81" s="173"/>
      <c r="H81" s="173"/>
      <c r="I81" s="173"/>
      <c r="J81" s="97">
        <f t="shared" ref="J81:J90" si="2">VLOOKUP(O81,АО,3,FALSE)</f>
        <v>0</v>
      </c>
      <c r="K81" s="109"/>
      <c r="L81" s="190"/>
      <c r="M81" s="109"/>
      <c r="N81" s="109"/>
      <c r="O81" s="70" t="s">
        <v>103</v>
      </c>
    </row>
    <row r="82" spans="1:15" outlineLevel="1">
      <c r="A82" s="173" t="s">
        <v>3</v>
      </c>
      <c r="B82" s="173"/>
      <c r="C82" s="173"/>
      <c r="D82" s="173"/>
      <c r="E82" s="173"/>
      <c r="F82" s="173"/>
      <c r="G82" s="173"/>
      <c r="H82" s="173"/>
      <c r="I82" s="173"/>
      <c r="J82" s="97">
        <f t="shared" si="2"/>
        <v>0</v>
      </c>
      <c r="K82" s="109"/>
      <c r="L82" s="190"/>
      <c r="M82" s="109"/>
      <c r="N82" s="109"/>
      <c r="O82" s="70" t="s">
        <v>104</v>
      </c>
    </row>
    <row r="83" spans="1:15" outlineLevel="1">
      <c r="A83" s="180" t="s">
        <v>4</v>
      </c>
      <c r="B83" s="181"/>
      <c r="C83" s="181"/>
      <c r="D83" s="181"/>
      <c r="E83" s="181"/>
      <c r="F83" s="181"/>
      <c r="G83" s="181"/>
      <c r="H83" s="181"/>
      <c r="I83" s="182"/>
      <c r="J83" s="97">
        <f t="shared" si="2"/>
        <v>213133.49</v>
      </c>
      <c r="K83" s="109"/>
      <c r="L83" s="190"/>
      <c r="M83" s="109"/>
      <c r="N83" s="109"/>
      <c r="O83" s="70" t="s">
        <v>105</v>
      </c>
    </row>
    <row r="84" spans="1:15" outlineLevel="1">
      <c r="A84" s="180" t="s">
        <v>16</v>
      </c>
      <c r="B84" s="181"/>
      <c r="C84" s="181"/>
      <c r="D84" s="181"/>
      <c r="E84" s="181"/>
      <c r="F84" s="181"/>
      <c r="G84" s="181"/>
      <c r="H84" s="181"/>
      <c r="I84" s="182"/>
      <c r="J84" s="97">
        <f t="shared" si="2"/>
        <v>0</v>
      </c>
      <c r="K84" s="109"/>
      <c r="L84" s="190"/>
      <c r="M84" s="109"/>
      <c r="N84" s="109"/>
      <c r="O84" s="70" t="s">
        <v>106</v>
      </c>
    </row>
    <row r="85" spans="1:15" outlineLevel="1">
      <c r="A85" s="180" t="s">
        <v>17</v>
      </c>
      <c r="B85" s="181"/>
      <c r="C85" s="181"/>
      <c r="D85" s="181"/>
      <c r="E85" s="181"/>
      <c r="F85" s="181"/>
      <c r="G85" s="181"/>
      <c r="H85" s="181"/>
      <c r="I85" s="182"/>
      <c r="J85" s="97">
        <f t="shared" si="2"/>
        <v>0</v>
      </c>
      <c r="K85" s="109"/>
      <c r="L85" s="190"/>
      <c r="M85" s="109"/>
      <c r="N85" s="109"/>
      <c r="O85" s="70" t="s">
        <v>107</v>
      </c>
    </row>
    <row r="86" spans="1:15" outlineLevel="1">
      <c r="A86" s="180" t="s">
        <v>18</v>
      </c>
      <c r="B86" s="181"/>
      <c r="C86" s="181"/>
      <c r="D86" s="181"/>
      <c r="E86" s="181"/>
      <c r="F86" s="181"/>
      <c r="G86" s="181"/>
      <c r="H86" s="181"/>
      <c r="I86" s="182"/>
      <c r="J86" s="97">
        <f t="shared" si="2"/>
        <v>216145.06</v>
      </c>
      <c r="K86" s="109"/>
      <c r="L86" s="190"/>
      <c r="M86" s="109"/>
      <c r="N86" s="109"/>
      <c r="O86" s="70" t="s">
        <v>108</v>
      </c>
    </row>
    <row r="87" spans="1:15" ht="18.75" customHeight="1" outlineLevel="1">
      <c r="A87" s="180" t="s">
        <v>27</v>
      </c>
      <c r="B87" s="181"/>
      <c r="C87" s="181"/>
      <c r="D87" s="181"/>
      <c r="E87" s="181"/>
      <c r="F87" s="181"/>
      <c r="G87" s="181"/>
      <c r="H87" s="181"/>
      <c r="I87" s="182"/>
      <c r="J87" s="8">
        <f t="shared" si="2"/>
        <v>0</v>
      </c>
      <c r="K87" s="109"/>
      <c r="L87" s="190"/>
      <c r="M87" s="109"/>
      <c r="N87" s="109"/>
      <c r="O87" s="70" t="s">
        <v>109</v>
      </c>
    </row>
    <row r="88" spans="1:15" ht="18.75" customHeight="1" outlineLevel="1">
      <c r="A88" s="180" t="s">
        <v>28</v>
      </c>
      <c r="B88" s="181"/>
      <c r="C88" s="181"/>
      <c r="D88" s="181"/>
      <c r="E88" s="181"/>
      <c r="F88" s="181"/>
      <c r="G88" s="181"/>
      <c r="H88" s="181"/>
      <c r="I88" s="182"/>
      <c r="J88" s="8">
        <f t="shared" si="2"/>
        <v>0</v>
      </c>
      <c r="K88" s="109"/>
      <c r="L88" s="190"/>
      <c r="M88" s="109"/>
      <c r="N88" s="109"/>
      <c r="O88" s="70" t="s">
        <v>110</v>
      </c>
    </row>
    <row r="89" spans="1:15" ht="18.75" customHeight="1" outlineLevel="1">
      <c r="A89" s="180" t="s">
        <v>29</v>
      </c>
      <c r="B89" s="181"/>
      <c r="C89" s="181"/>
      <c r="D89" s="181"/>
      <c r="E89" s="181"/>
      <c r="F89" s="181"/>
      <c r="G89" s="181"/>
      <c r="H89" s="181"/>
      <c r="I89" s="182"/>
      <c r="J89" s="8">
        <f t="shared" si="2"/>
        <v>0</v>
      </c>
      <c r="K89" s="109"/>
      <c r="L89" s="190"/>
      <c r="M89" s="109"/>
      <c r="N89" s="109"/>
      <c r="O89" s="70" t="s">
        <v>111</v>
      </c>
    </row>
    <row r="90" spans="1:15" ht="18.75" customHeight="1" outlineLevel="1">
      <c r="A90" s="180" t="s">
        <v>30</v>
      </c>
      <c r="B90" s="181"/>
      <c r="C90" s="181"/>
      <c r="D90" s="181"/>
      <c r="E90" s="181"/>
      <c r="F90" s="181"/>
      <c r="G90" s="181"/>
      <c r="H90" s="181"/>
      <c r="I90" s="182"/>
      <c r="J90" s="97">
        <f t="shared" si="2"/>
        <v>0</v>
      </c>
      <c r="K90" s="109"/>
      <c r="L90" s="190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4" t="s">
        <v>48</v>
      </c>
      <c r="B93" s="174"/>
      <c r="C93" s="174"/>
      <c r="D93" s="177" t="s">
        <v>49</v>
      </c>
      <c r="E93" s="177"/>
      <c r="F93" s="10" t="s">
        <v>50</v>
      </c>
      <c r="G93" s="174" t="s">
        <v>51</v>
      </c>
      <c r="H93" s="174"/>
      <c r="I93" s="174"/>
      <c r="J93" s="174"/>
      <c r="K93" s="109"/>
      <c r="L93" s="109"/>
      <c r="M93" s="109"/>
      <c r="N93" s="109"/>
    </row>
    <row r="94" spans="1:15" outlineLevel="1">
      <c r="A94" s="178" t="str">
        <f>IF(VLOOKUP("эл",АО,3,FALSE)&gt;0,"Электроснабжение",0)</f>
        <v>Электроснабжение</v>
      </c>
      <c r="B94" s="178"/>
      <c r="C94" s="178"/>
      <c r="D94" s="176" t="str">
        <f>IF(VLOOKUP("эл",АО,3,FALSE)&gt;0,VLOOKUP("эл",АО,3,FALSE),0)</f>
        <v>Предоставляется</v>
      </c>
      <c r="E94" s="176"/>
      <c r="F94" s="13" t="str">
        <f>IF(VLOOKUP("эл",АО,3,FALSE)&gt;0,VLOOKUP("эл",АО,4,FALSE),0)</f>
        <v>кВт*ч</v>
      </c>
      <c r="G94" s="175">
        <f>VLOOKUP("эл",АО,5,FALSE)</f>
        <v>451073.76999999996</v>
      </c>
      <c r="H94" s="176"/>
      <c r="I94" s="176"/>
      <c r="J94" s="176"/>
      <c r="K94" s="1" t="str">
        <f>VLOOKUP("эл",АО,2,FALSE)</f>
        <v>Электроснабжение</v>
      </c>
      <c r="L94" s="191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395678.74561403511</v>
      </c>
      <c r="L95" s="191"/>
      <c r="O95" s="1" t="s">
        <v>113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448648.24000000005</v>
      </c>
      <c r="L96" s="191"/>
      <c r="O96" s="1" t="s">
        <v>114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2425.5299999999115</v>
      </c>
      <c r="L97" s="191"/>
      <c r="O97" s="1" t="s">
        <v>115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451073.76999999996</v>
      </c>
      <c r="L98" s="191"/>
      <c r="O98" s="1" t="s">
        <v>116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451073.76999999996</v>
      </c>
      <c r="L99" s="191"/>
      <c r="O99" s="1" t="s">
        <v>117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91"/>
      <c r="O100" s="1" t="s">
        <v>118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91"/>
      <c r="O101" s="1" t="s">
        <v>119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6" t="str">
        <f>IF(VLOOKUP("хвс",АО,3,FALSE)&gt;0,VLOOKUP("хвс",АО,3,FALSE),0)</f>
        <v>Предоставляется</v>
      </c>
      <c r="E102" s="176"/>
      <c r="F102" s="13" t="str">
        <f>IF(VLOOKUP("хвс",АО,3,FALSE)&gt;0,VLOOKUP("хвс",АО,4,FALSE),0)</f>
        <v>куб.м.</v>
      </c>
      <c r="G102" s="175">
        <f>VLOOKUP("хвс",АО,5,FALSE)</f>
        <v>209834.37</v>
      </c>
      <c r="H102" s="176"/>
      <c r="I102" s="176"/>
      <c r="J102" s="176"/>
      <c r="L102" s="191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15508.822616407982</v>
      </c>
      <c r="L103" s="191"/>
      <c r="O103" s="1" t="s">
        <v>122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217029.37999999995</v>
      </c>
      <c r="L104" s="191"/>
      <c r="O104" s="1" t="s">
        <v>123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0</v>
      </c>
      <c r="L105" s="191"/>
      <c r="O105" s="1" t="s">
        <v>124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209834.37</v>
      </c>
      <c r="L106" s="191"/>
      <c r="O106" s="1" t="s">
        <v>125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209834.37</v>
      </c>
      <c r="L107" s="191"/>
      <c r="O107" s="1" t="s">
        <v>126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91"/>
      <c r="O108" s="1" t="s">
        <v>127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91"/>
      <c r="O109" s="1" t="s">
        <v>128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6" t="str">
        <f>IF(VLOOKUP("воо",АО,3,FALSE)&gt;0,VLOOKUP("воо",АО,3,FALSE),0)</f>
        <v>Предоставляется</v>
      </c>
      <c r="E110" s="176"/>
      <c r="F110" s="13" t="str">
        <f>IF(VLOOKUP("воо",АО,3,FALSE)&gt;0,VLOOKUP("воо",АО,4,FALSE),0)</f>
        <v>куб.м.</v>
      </c>
      <c r="G110" s="175">
        <f>VLOOKUP("воо",АО,5,FALSE)</f>
        <v>246319.99999999994</v>
      </c>
      <c r="H110" s="176"/>
      <c r="I110" s="176"/>
      <c r="J110" s="176"/>
      <c r="L110" s="191"/>
    </row>
    <row r="111" spans="1:15" outlineLevel="2">
      <c r="A111" s="173" t="str">
        <f t="shared" ref="A111:A117" si="6">IF(VLOOKUP("воо",АО,3,FALSE)&gt;0,VLOOKUP(O111,АО,2,FALSE),0)</f>
        <v>Общий объем потребления, нат. показ.</v>
      </c>
      <c r="B111" s="173"/>
      <c r="C111" s="173"/>
      <c r="D111" s="173"/>
      <c r="E111" s="173"/>
      <c r="F111" s="173"/>
      <c r="G111" s="173"/>
      <c r="H111" s="173"/>
      <c r="I111" s="173"/>
      <c r="J111" s="18">
        <f t="shared" ref="J111:J117" si="7">VLOOKUP(O111,АО,3,FALSE)</f>
        <v>15963.707064160722</v>
      </c>
      <c r="L111" s="191"/>
      <c r="O111" s="1" t="s">
        <v>130</v>
      </c>
    </row>
    <row r="112" spans="1:15" ht="18.75" customHeight="1" outlineLevel="2">
      <c r="A112" s="173" t="str">
        <f t="shared" si="6"/>
        <v>Оплачено потребителями, руб.</v>
      </c>
      <c r="B112" s="173"/>
      <c r="C112" s="173"/>
      <c r="D112" s="173"/>
      <c r="E112" s="173"/>
      <c r="F112" s="173"/>
      <c r="G112" s="173"/>
      <c r="H112" s="173"/>
      <c r="I112" s="173"/>
      <c r="J112" s="18">
        <f t="shared" si="7"/>
        <v>245209.43999999989</v>
      </c>
      <c r="L112" s="191"/>
      <c r="O112" s="1" t="s">
        <v>131</v>
      </c>
    </row>
    <row r="113" spans="1:15" ht="19.5" customHeight="1" outlineLevel="2">
      <c r="A113" s="173" t="str">
        <f t="shared" si="6"/>
        <v>Задолженность потребителей, руб.</v>
      </c>
      <c r="B113" s="173"/>
      <c r="C113" s="173"/>
      <c r="D113" s="173"/>
      <c r="E113" s="173"/>
      <c r="F113" s="173"/>
      <c r="G113" s="173"/>
      <c r="H113" s="173"/>
      <c r="I113" s="173"/>
      <c r="J113" s="18">
        <f t="shared" si="7"/>
        <v>1110.5600000000559</v>
      </c>
      <c r="L113" s="191"/>
      <c r="O113" s="1" t="s">
        <v>132</v>
      </c>
    </row>
    <row r="114" spans="1:15" ht="33" customHeight="1" outlineLevel="2">
      <c r="A114" s="173" t="str">
        <f t="shared" si="6"/>
        <v>Начислено поставщиком (поставщиками) коммунального ресурса, руб.</v>
      </c>
      <c r="B114" s="173"/>
      <c r="C114" s="173"/>
      <c r="D114" s="173"/>
      <c r="E114" s="173"/>
      <c r="F114" s="173"/>
      <c r="G114" s="173"/>
      <c r="H114" s="173"/>
      <c r="I114" s="173"/>
      <c r="J114" s="18">
        <f t="shared" si="7"/>
        <v>246319.99999999994</v>
      </c>
      <c r="L114" s="191"/>
      <c r="O114" s="1" t="s">
        <v>133</v>
      </c>
    </row>
    <row r="115" spans="1:15" ht="18.75" customHeight="1" outlineLevel="2">
      <c r="A115" s="173" t="str">
        <f t="shared" si="6"/>
        <v>Оплачено поставщику (поставщикам) коммунального ресурса, руб.</v>
      </c>
      <c r="B115" s="173"/>
      <c r="C115" s="173"/>
      <c r="D115" s="173"/>
      <c r="E115" s="173"/>
      <c r="F115" s="173"/>
      <c r="G115" s="173"/>
      <c r="H115" s="173"/>
      <c r="I115" s="173"/>
      <c r="J115" s="18">
        <f t="shared" si="7"/>
        <v>246319.99999999994</v>
      </c>
      <c r="L115" s="191"/>
      <c r="O115" s="1" t="s">
        <v>134</v>
      </c>
    </row>
    <row r="116" spans="1:15" ht="33.75" customHeight="1" outlineLevel="2">
      <c r="A116" s="173" t="str">
        <f t="shared" si="6"/>
        <v>Задолженность перед поставщиком (поставщиками) коммунального ресурса, руб.</v>
      </c>
      <c r="B116" s="173"/>
      <c r="C116" s="173"/>
      <c r="D116" s="173"/>
      <c r="E116" s="173"/>
      <c r="F116" s="173"/>
      <c r="G116" s="173"/>
      <c r="H116" s="173"/>
      <c r="I116" s="173"/>
      <c r="J116" s="18">
        <f t="shared" si="7"/>
        <v>0</v>
      </c>
      <c r="L116" s="191"/>
      <c r="O116" s="1" t="s">
        <v>135</v>
      </c>
    </row>
    <row r="117" spans="1:15" ht="32.25" customHeight="1" outlineLevel="2">
      <c r="A117" s="173" t="str">
        <f t="shared" si="6"/>
        <v>Размер пени и штрафов, уплаченных поставщику (поставщикам) коммунального ресурса, руб.</v>
      </c>
      <c r="B117" s="173"/>
      <c r="C117" s="173"/>
      <c r="D117" s="173"/>
      <c r="E117" s="173"/>
      <c r="F117" s="173"/>
      <c r="G117" s="173"/>
      <c r="H117" s="173"/>
      <c r="I117" s="173"/>
      <c r="J117" s="18">
        <f t="shared" si="7"/>
        <v>0</v>
      </c>
      <c r="L117" s="191"/>
      <c r="O117" s="1" t="s">
        <v>136</v>
      </c>
    </row>
    <row r="118" spans="1:15" ht="32.25" customHeight="1" outlineLevel="1">
      <c r="A118" s="178" t="str">
        <f>IF(VLOOKUP("тко",АО,3,FALSE)&gt;0,"Обращение с ТКО",0)</f>
        <v>Обращение с ТКО</v>
      </c>
      <c r="B118" s="178"/>
      <c r="C118" s="178"/>
      <c r="D118" s="176" t="str">
        <f>IF(VLOOKUP("тко",АО,3,FALSE)&gt;0,VLOOKUP("тко",АО,3,FALSE),0)</f>
        <v>Предоставляется</v>
      </c>
      <c r="E118" s="176"/>
      <c r="F118" s="13" t="str">
        <f>IF(VLOOKUP("тко",АО,3,FALSE)&gt;0,VLOOKUP("тко",АО,4,FALSE),0)</f>
        <v>куб.м.</v>
      </c>
      <c r="G118" s="175">
        <f>VLOOKUP("тко",АО,5,FALSE)</f>
        <v>365966.5199999999</v>
      </c>
      <c r="H118" s="176"/>
      <c r="I118" s="176"/>
      <c r="J118" s="176"/>
      <c r="L118" s="47"/>
    </row>
    <row r="119" spans="1:15" ht="32.25" customHeight="1" outlineLevel="2">
      <c r="A119" s="173" t="str">
        <f t="shared" ref="A119:A125" si="8">IF(VLOOKUP("тко",АО,3,FALSE)&gt;0,VLOOKUP(O119,АО,2,FALSE),0)</f>
        <v>Общий объем потребления, нат. показ.</v>
      </c>
      <c r="B119" s="173"/>
      <c r="C119" s="173"/>
      <c r="D119" s="173"/>
      <c r="E119" s="173"/>
      <c r="F119" s="173"/>
      <c r="G119" s="173"/>
      <c r="H119" s="173"/>
      <c r="I119" s="173"/>
      <c r="J119" s="18">
        <f t="shared" ref="J119:J125" si="9">VLOOKUP(O119,АО,3,FALSE)</f>
        <v>645.54606551304425</v>
      </c>
      <c r="L119" s="47"/>
      <c r="O119" s="1" t="s">
        <v>138</v>
      </c>
    </row>
    <row r="120" spans="1:15" ht="32.25" customHeight="1" outlineLevel="2">
      <c r="A120" s="173" t="str">
        <f t="shared" si="8"/>
        <v>Оплачено потребителями, руб.</v>
      </c>
      <c r="B120" s="173"/>
      <c r="C120" s="173"/>
      <c r="D120" s="173"/>
      <c r="E120" s="173"/>
      <c r="F120" s="173"/>
      <c r="G120" s="173"/>
      <c r="H120" s="173"/>
      <c r="I120" s="173"/>
      <c r="J120" s="18">
        <f t="shared" si="9"/>
        <v>357009.57000000007</v>
      </c>
      <c r="L120" s="47"/>
      <c r="O120" s="1" t="s">
        <v>139</v>
      </c>
    </row>
    <row r="121" spans="1:15" ht="32.25" customHeight="1" outlineLevel="2">
      <c r="A121" s="173" t="str">
        <f t="shared" si="8"/>
        <v>Задолженность потребителей, руб.</v>
      </c>
      <c r="B121" s="173"/>
      <c r="C121" s="173"/>
      <c r="D121" s="173"/>
      <c r="E121" s="173"/>
      <c r="F121" s="173"/>
      <c r="G121" s="173"/>
      <c r="H121" s="173"/>
      <c r="I121" s="173"/>
      <c r="J121" s="18">
        <f t="shared" si="9"/>
        <v>8956.949999999837</v>
      </c>
      <c r="L121" s="47"/>
      <c r="O121" s="1" t="s">
        <v>140</v>
      </c>
    </row>
    <row r="122" spans="1:15" ht="32.25" customHeight="1" outlineLevel="2">
      <c r="A122" s="173" t="str">
        <f t="shared" si="8"/>
        <v>Начислено поставщиком (поставщиками) коммунального ресурса, руб.</v>
      </c>
      <c r="B122" s="173"/>
      <c r="C122" s="173"/>
      <c r="D122" s="173"/>
      <c r="E122" s="173"/>
      <c r="F122" s="173"/>
      <c r="G122" s="173"/>
      <c r="H122" s="173"/>
      <c r="I122" s="173"/>
      <c r="J122" s="18">
        <f t="shared" si="9"/>
        <v>365966.5199999999</v>
      </c>
      <c r="L122" s="47"/>
      <c r="O122" s="1" t="s">
        <v>141</v>
      </c>
    </row>
    <row r="123" spans="1:15" ht="32.25" customHeight="1" outlineLevel="2">
      <c r="A123" s="173" t="str">
        <f t="shared" si="8"/>
        <v>Оплачено поставщику (поставщикам) коммунального ресурса, руб.</v>
      </c>
      <c r="B123" s="173"/>
      <c r="C123" s="173"/>
      <c r="D123" s="173"/>
      <c r="E123" s="173"/>
      <c r="F123" s="173"/>
      <c r="G123" s="173"/>
      <c r="H123" s="173"/>
      <c r="I123" s="173"/>
      <c r="J123" s="18">
        <f t="shared" si="9"/>
        <v>365966.5199999999</v>
      </c>
      <c r="L123" s="47"/>
      <c r="O123" s="1" t="s">
        <v>142</v>
      </c>
    </row>
    <row r="124" spans="1:15" ht="32.25" customHeight="1" outlineLevel="2">
      <c r="A124" s="173" t="str">
        <f t="shared" si="8"/>
        <v>Задолженность перед поставщиком (поставщиками) коммунального ресурса, руб.</v>
      </c>
      <c r="B124" s="173"/>
      <c r="C124" s="173"/>
      <c r="D124" s="173"/>
      <c r="E124" s="173"/>
      <c r="F124" s="173"/>
      <c r="G124" s="173"/>
      <c r="H124" s="173"/>
      <c r="I124" s="17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3" t="str">
        <f t="shared" si="8"/>
        <v>Размер пени и штрафов, уплаченных поставщику (поставщикам) коммунального ресурса, руб.</v>
      </c>
      <c r="B125" s="173"/>
      <c r="C125" s="173"/>
      <c r="D125" s="173"/>
      <c r="E125" s="173"/>
      <c r="F125" s="173"/>
      <c r="G125" s="173"/>
      <c r="H125" s="173"/>
      <c r="I125" s="173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8">
        <f>IF(VLOOKUP("гвс",АО,3,FALSE)&gt;0,"Горячее водоснабжение",0)</f>
        <v>0</v>
      </c>
      <c r="B126" s="178"/>
      <c r="C126" s="178"/>
      <c r="D126" s="176">
        <f>IF(VLOOKUP("гвс",АО,3,FALSE)&gt;0,VLOOKUP("гвс",АО,3,FALSE),0)</f>
        <v>0</v>
      </c>
      <c r="E126" s="176"/>
      <c r="F126" s="13">
        <f>IF(VLOOKUP("гвс",АО,3,FALSE)&gt;0,VLOOKUP("гвс",АО,4,FALSE),0)</f>
        <v>0</v>
      </c>
      <c r="G126" s="175">
        <f>VLOOKUP("гвс",АО,5,FALSE)</f>
        <v>0</v>
      </c>
      <c r="H126" s="176"/>
      <c r="I126" s="176"/>
      <c r="J126" s="176"/>
      <c r="L126" s="47"/>
    </row>
    <row r="127" spans="1:15" ht="32.25" hidden="1" customHeight="1" outlineLevel="2">
      <c r="A127" s="173">
        <f t="shared" ref="A127:A133" si="10">IF(VLOOKUP("гвс",АО,3,FALSE)&gt;0,VLOOKUP(O127,АО,2,FALSE),0)</f>
        <v>0</v>
      </c>
      <c r="B127" s="173"/>
      <c r="C127" s="173"/>
      <c r="D127" s="173"/>
      <c r="E127" s="173"/>
      <c r="F127" s="173"/>
      <c r="G127" s="173"/>
      <c r="H127" s="173"/>
      <c r="I127" s="173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3">
        <f t="shared" si="10"/>
        <v>0</v>
      </c>
      <c r="B128" s="173"/>
      <c r="C128" s="173"/>
      <c r="D128" s="173"/>
      <c r="E128" s="173"/>
      <c r="F128" s="173"/>
      <c r="G128" s="173"/>
      <c r="H128" s="173"/>
      <c r="I128" s="173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3">
        <f t="shared" si="10"/>
        <v>0</v>
      </c>
      <c r="B129" s="173"/>
      <c r="C129" s="173"/>
      <c r="D129" s="173"/>
      <c r="E129" s="173"/>
      <c r="F129" s="173"/>
      <c r="G129" s="173"/>
      <c r="H129" s="173"/>
      <c r="I129" s="173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3">
        <f t="shared" si="10"/>
        <v>0</v>
      </c>
      <c r="B130" s="173"/>
      <c r="C130" s="173"/>
      <c r="D130" s="173"/>
      <c r="E130" s="173"/>
      <c r="F130" s="173"/>
      <c r="G130" s="173"/>
      <c r="H130" s="173"/>
      <c r="I130" s="173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3">
        <f t="shared" si="10"/>
        <v>0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3">
        <f t="shared" si="10"/>
        <v>0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3">
        <f t="shared" si="10"/>
        <v>0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8">
        <f>IF(VLOOKUP("отопление",АО,3,FALSE)&gt;0,"Отопление",0)</f>
        <v>0</v>
      </c>
      <c r="B134" s="178"/>
      <c r="C134" s="178"/>
      <c r="D134" s="176">
        <f>IF(VLOOKUP("отопление",АО,3,FALSE)&gt;0,VLOOKUP("отопление",АО,3,FALSE),0)</f>
        <v>0</v>
      </c>
      <c r="E134" s="176"/>
      <c r="F134" s="13">
        <f>IF(VLOOKUP("отопление",АО,3,FALSE)&gt;0,VLOOKUP("отопление",АО,4,FALSE),0)</f>
        <v>0</v>
      </c>
      <c r="G134" s="175">
        <f>VLOOKUP("отопление",АО,5,FALSE)</f>
        <v>0</v>
      </c>
      <c r="H134" s="176"/>
      <c r="I134" s="176"/>
      <c r="J134" s="176"/>
      <c r="L134" s="47"/>
    </row>
    <row r="135" spans="1:15" ht="32.25" hidden="1" customHeight="1" outlineLevel="2">
      <c r="A135" s="173">
        <f t="shared" ref="A135:A141" si="12">IF(VLOOKUP("отопление",АО,3,FALSE)&gt;0,VLOOKUP(O135,АО,2,FALSE),0)</f>
        <v>0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3">
        <f t="shared" si="12"/>
        <v>0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3">
        <f t="shared" si="12"/>
        <v>0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3">
        <f t="shared" si="12"/>
        <v>0</v>
      </c>
      <c r="B138" s="173"/>
      <c r="C138" s="173"/>
      <c r="D138" s="173"/>
      <c r="E138" s="173"/>
      <c r="F138" s="173"/>
      <c r="G138" s="173"/>
      <c r="H138" s="173"/>
      <c r="I138" s="17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3">
        <f t="shared" si="12"/>
        <v>0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3">
        <f t="shared" si="12"/>
        <v>0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3">
        <f t="shared" si="12"/>
        <v>0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3" t="s">
        <v>45</v>
      </c>
      <c r="B144" s="173"/>
      <c r="C144" s="173"/>
      <c r="D144" s="173"/>
      <c r="E144" s="173"/>
      <c r="F144" s="173"/>
      <c r="G144" s="173"/>
      <c r="H144" s="173"/>
      <c r="I144" s="173"/>
      <c r="J144" s="14">
        <f>VLOOKUP(O144,юр,3,FALSE)</f>
        <v>0</v>
      </c>
      <c r="O144" t="s">
        <v>170</v>
      </c>
    </row>
    <row r="145" spans="1:15" ht="18.75" customHeight="1" outlineLevel="1">
      <c r="A145" s="173" t="s">
        <v>46</v>
      </c>
      <c r="B145" s="173"/>
      <c r="C145" s="173"/>
      <c r="D145" s="173"/>
      <c r="E145" s="173"/>
      <c r="F145" s="173"/>
      <c r="G145" s="173"/>
      <c r="H145" s="173"/>
      <c r="I145" s="173"/>
      <c r="J145" s="14">
        <f>VLOOKUP(O145,юр,3,FALSE)</f>
        <v>12</v>
      </c>
      <c r="L145" s="15"/>
      <c r="O145" t="s">
        <v>171</v>
      </c>
    </row>
    <row r="146" spans="1:15" ht="30" customHeight="1" outlineLevel="1">
      <c r="A146" s="173" t="s">
        <v>173</v>
      </c>
      <c r="B146" s="173"/>
      <c r="C146" s="173"/>
      <c r="D146" s="173"/>
      <c r="E146" s="173"/>
      <c r="F146" s="173"/>
      <c r="G146" s="173"/>
      <c r="H146" s="173"/>
      <c r="I146" s="173"/>
      <c r="J146" s="9">
        <f>VLOOKUP(O146,юр,3,FALSE)</f>
        <v>214581.16</v>
      </c>
      <c r="O146" t="s">
        <v>172</v>
      </c>
    </row>
    <row r="149" spans="1:15" ht="52.5" customHeight="1">
      <c r="A149" s="169" t="s">
        <v>188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193</v>
      </c>
      <c r="B154" s="168"/>
      <c r="C154" s="168"/>
      <c r="D154" s="168"/>
      <c r="E154" s="27">
        <f>ПТО!G1</f>
        <v>-55584.93</v>
      </c>
    </row>
    <row r="155" spans="1:15" ht="34.5" customHeight="1">
      <c r="A155" s="170" t="s">
        <v>192</v>
      </c>
      <c r="B155" s="170"/>
      <c r="C155" s="170"/>
      <c r="D155" s="170"/>
      <c r="E155" s="28">
        <f>J13</f>
        <v>362256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5" t="str">
        <f t="shared" ref="A158:A163" si="14">IF(N158&gt;0,N158,0)</f>
        <v>Техническое освидетельствование лифтов.</v>
      </c>
      <c r="B158" s="165"/>
      <c r="C158" s="165"/>
      <c r="D158" s="165"/>
      <c r="E158" s="165"/>
      <c r="F158" s="166">
        <f t="shared" ref="F158:F163" si="15">IF(ISERROR(VLOOKUP(A158,$A$28:$J$72,6,FALSE)),0,VLOOKUP(A158,$A$28:$J$72,6,FALSE))</f>
        <v>16200</v>
      </c>
      <c r="G158" s="166"/>
      <c r="H158" s="24" t="str">
        <f t="shared" ref="H158:H187" si="16">VLOOKUP(A158,$A$28:$J$72,8,FALSE)</f>
        <v>ежегодно</v>
      </c>
      <c r="I158" s="167">
        <f t="shared" ref="I158:I161" si="17">VLOOKUP(A158,$A$28:$J$72,9,FALSE)</f>
        <v>2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5" t="str">
        <f t="shared" si="14"/>
        <v>Техническое обслуживание системы видеонаблюдения.</v>
      </c>
      <c r="B159" s="165"/>
      <c r="C159" s="165"/>
      <c r="D159" s="165"/>
      <c r="E159" s="165"/>
      <c r="F159" s="166">
        <f t="shared" si="15"/>
        <v>20400</v>
      </c>
      <c r="G159" s="166"/>
      <c r="H159" s="24" t="str">
        <f t="shared" si="16"/>
        <v>ежемесячно</v>
      </c>
      <c r="I159" s="167">
        <f t="shared" si="17"/>
        <v>12</v>
      </c>
      <c r="J159" s="167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65" t="str">
        <f t="shared" si="14"/>
        <v>Приобретение новогодней гирлянды.</v>
      </c>
      <c r="B160" s="165"/>
      <c r="C160" s="165"/>
      <c r="D160" s="165"/>
      <c r="E160" s="165"/>
      <c r="F160" s="166">
        <f t="shared" si="15"/>
        <v>484</v>
      </c>
      <c r="G160" s="166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Приобретение новогодней гирлянды.</v>
      </c>
    </row>
    <row r="161" spans="1:14" ht="28.5" customHeight="1">
      <c r="A161" s="165" t="str">
        <f>IF(N161&gt;0,N161,0)</f>
        <v>Изготовление и монтаж тамбурной двери.</v>
      </c>
      <c r="B161" s="165"/>
      <c r="C161" s="165"/>
      <c r="D161" s="165"/>
      <c r="E161" s="165"/>
      <c r="F161" s="166">
        <f t="shared" si="15"/>
        <v>54368.56</v>
      </c>
      <c r="G161" s="166"/>
      <c r="H161" s="24" t="str">
        <f t="shared" si="16"/>
        <v>разово</v>
      </c>
      <c r="I161" s="167">
        <f t="shared" si="17"/>
        <v>2</v>
      </c>
      <c r="J161" s="167"/>
      <c r="M161" s="22" t="s">
        <v>72</v>
      </c>
      <c r="N161" s="1" t="str">
        <v>Изготовление и монтаж тамбурной двери.</v>
      </c>
    </row>
    <row r="162" spans="1:14" ht="28.5" customHeight="1">
      <c r="A162" s="165" t="str">
        <f t="shared" si="14"/>
        <v>Ремонтно-восстановительные работы системы пожарной сигнализации.</v>
      </c>
      <c r="B162" s="165"/>
      <c r="C162" s="165"/>
      <c r="D162" s="165"/>
      <c r="E162" s="165"/>
      <c r="F162" s="166">
        <f t="shared" si="15"/>
        <v>7292.74</v>
      </c>
      <c r="G162" s="166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Ремонтно-восстановительные работы системы пожарной сигнализации.</v>
      </c>
    </row>
    <row r="163" spans="1:14" ht="28.5" customHeight="1">
      <c r="A163" s="165" t="str">
        <f t="shared" si="14"/>
        <v>Монтаж дополнительных камер системы видеонаблюдения.</v>
      </c>
      <c r="B163" s="165"/>
      <c r="C163" s="165"/>
      <c r="D163" s="165"/>
      <c r="E163" s="165"/>
      <c r="F163" s="166">
        <f t="shared" si="15"/>
        <v>35297.800000000003</v>
      </c>
      <c r="G163" s="166"/>
      <c r="H163" s="24" t="str">
        <f t="shared" si="16"/>
        <v>разово</v>
      </c>
      <c r="I163" s="167">
        <f>VLOOKUP(A163,$A$28:$J$72,9,FALSE)</f>
        <v>1</v>
      </c>
      <c r="J163" s="167"/>
      <c r="M163" s="22" t="s">
        <v>72</v>
      </c>
      <c r="N163" s="1" t="str">
        <v>Монтаж дополнительных камер системы видеонаблюдения.</v>
      </c>
    </row>
    <row r="164" spans="1:14" ht="28.5" customHeight="1">
      <c r="A164" s="165" t="str">
        <f t="shared" ref="A164:A187" si="18">IF(N164&gt;0,N164,0)</f>
        <v>Замена кнопки выхода системы домофон.</v>
      </c>
      <c r="B164" s="165"/>
      <c r="C164" s="165"/>
      <c r="D164" s="165"/>
      <c r="E164" s="165"/>
      <c r="F164" s="166">
        <f t="shared" ref="F164:F187" si="19">IF(ISERROR(VLOOKUP(A164,$A$28:$J$72,6,FALSE)),0,VLOOKUP(A164,$A$28:$J$72,6,FALSE))</f>
        <v>2300</v>
      </c>
      <c r="G164" s="166"/>
      <c r="H164" s="29" t="str">
        <f t="shared" si="16"/>
        <v>разово</v>
      </c>
      <c r="I164" s="167">
        <f t="shared" ref="I164:I187" si="20">VLOOKUP(A164,$A$28:$J$72,9,FALSE)</f>
        <v>1</v>
      </c>
      <c r="J164" s="167"/>
      <c r="M164" s="22" t="s">
        <v>72</v>
      </c>
      <c r="N164" s="1" t="str">
        <v>Замена кнопки выхода системы домофон.</v>
      </c>
    </row>
    <row r="165" spans="1:14" ht="28.5" customHeight="1">
      <c r="A165" s="165" t="str">
        <f t="shared" si="18"/>
        <v>Приобретение и установка таблички по пожарной безопасности.</v>
      </c>
      <c r="B165" s="165"/>
      <c r="C165" s="165"/>
      <c r="D165" s="165"/>
      <c r="E165" s="165"/>
      <c r="F165" s="166">
        <f t="shared" si="19"/>
        <v>250</v>
      </c>
      <c r="G165" s="166"/>
      <c r="H165" s="29" t="str">
        <f t="shared" si="16"/>
        <v>разово</v>
      </c>
      <c r="I165" s="167">
        <f t="shared" si="20"/>
        <v>1</v>
      </c>
      <c r="J165" s="167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65" t="str">
        <f t="shared" si="18"/>
        <v>Изготовление и монтаж дорожных знаков.</v>
      </c>
      <c r="B166" s="165"/>
      <c r="C166" s="165"/>
      <c r="D166" s="165"/>
      <c r="E166" s="165"/>
      <c r="F166" s="166">
        <f t="shared" si="19"/>
        <v>11499.8</v>
      </c>
      <c r="G166" s="166"/>
      <c r="H166" s="29" t="str">
        <f t="shared" si="16"/>
        <v>разово</v>
      </c>
      <c r="I166" s="167">
        <f t="shared" si="20"/>
        <v>1</v>
      </c>
      <c r="J166" s="167"/>
      <c r="M166" s="22" t="s">
        <v>72</v>
      </c>
      <c r="N166" s="1" t="str">
        <v>Изготовление и монтаж дорожных знаков.</v>
      </c>
    </row>
    <row r="167" spans="1:14" ht="28.5" customHeight="1">
      <c r="A167" s="165" t="str">
        <f t="shared" si="18"/>
        <v>Благоустройство придомовой территории (приобретение чернозема).</v>
      </c>
      <c r="B167" s="165"/>
      <c r="C167" s="165"/>
      <c r="D167" s="165"/>
      <c r="E167" s="165"/>
      <c r="F167" s="166">
        <f t="shared" si="19"/>
        <v>4500</v>
      </c>
      <c r="G167" s="166"/>
      <c r="H167" s="29" t="str">
        <f t="shared" si="16"/>
        <v>разово</v>
      </c>
      <c r="I167" s="167">
        <f t="shared" si="20"/>
        <v>1</v>
      </c>
      <c r="J167" s="167"/>
      <c r="M167" s="22" t="s">
        <v>72</v>
      </c>
      <c r="N167" s="1" t="str">
        <v>Благоустройство придомовой территории (приобретение чернозема).</v>
      </c>
    </row>
    <row r="168" spans="1:14" ht="28.5" customHeight="1">
      <c r="A168" s="165" t="str">
        <f t="shared" si="18"/>
        <v>Изготовление и монтаж номерков на почтовые ящики.</v>
      </c>
      <c r="B168" s="165"/>
      <c r="C168" s="165"/>
      <c r="D168" s="165"/>
      <c r="E168" s="165"/>
      <c r="F168" s="166">
        <f t="shared" si="19"/>
        <v>6060</v>
      </c>
      <c r="G168" s="166"/>
      <c r="H168" s="29" t="str">
        <f t="shared" si="16"/>
        <v>разово</v>
      </c>
      <c r="I168" s="167">
        <f t="shared" si="20"/>
        <v>1</v>
      </c>
      <c r="J168" s="167"/>
      <c r="M168" s="22" t="s">
        <v>72</v>
      </c>
      <c r="N168" s="1" t="str">
        <v>Изготовление и монтаж номерков на почтовые ящики.</v>
      </c>
    </row>
    <row r="169" spans="1:14" ht="28.5" customHeight="1">
      <c r="A169" s="165" t="str">
        <f t="shared" si="18"/>
        <v>Изготовление и монтаж резинопола на крыльцо.</v>
      </c>
      <c r="B169" s="165"/>
      <c r="C169" s="165"/>
      <c r="D169" s="165"/>
      <c r="E169" s="165"/>
      <c r="F169" s="166">
        <f t="shared" si="19"/>
        <v>110710</v>
      </c>
      <c r="G169" s="166"/>
      <c r="H169" s="29" t="str">
        <f t="shared" si="16"/>
        <v>разово</v>
      </c>
      <c r="I169" s="167">
        <f t="shared" si="20"/>
        <v>1</v>
      </c>
      <c r="J169" s="167"/>
      <c r="M169" s="22" t="s">
        <v>72</v>
      </c>
      <c r="N169" s="1" t="str">
        <v>Изготовление и монтаж резинопола на крыльцо.</v>
      </c>
    </row>
    <row r="170" spans="1:14" ht="28.5" customHeight="1">
      <c r="A170" s="165" t="str">
        <f t="shared" si="18"/>
        <v>Приобретение и монтаж доводчиков на двери (переход на незадымляемую лестницу, 6 шт.)</v>
      </c>
      <c r="B170" s="165"/>
      <c r="C170" s="165"/>
      <c r="D170" s="165"/>
      <c r="E170" s="165"/>
      <c r="F170" s="166">
        <f t="shared" si="19"/>
        <v>7800</v>
      </c>
      <c r="G170" s="166"/>
      <c r="H170" s="29" t="str">
        <f t="shared" si="16"/>
        <v>разово</v>
      </c>
      <c r="I170" s="167">
        <f t="shared" si="20"/>
        <v>1</v>
      </c>
      <c r="J170" s="167"/>
      <c r="M170" s="22" t="s">
        <v>72</v>
      </c>
      <c r="N170" s="1" t="str">
        <v>Приобретение и монтаж доводчиков на двери (переход на незадымляемую лестницу, 6 шт.)</v>
      </c>
    </row>
    <row r="171" spans="1:14" ht="28.5" customHeight="1">
      <c r="A171" s="165" t="str">
        <f t="shared" si="18"/>
        <v>Испытание ограждений кровли крыши.</v>
      </c>
      <c r="B171" s="165"/>
      <c r="C171" s="165"/>
      <c r="D171" s="165"/>
      <c r="E171" s="165"/>
      <c r="F171" s="166">
        <f t="shared" si="19"/>
        <v>8050</v>
      </c>
      <c r="G171" s="166"/>
      <c r="H171" s="29" t="str">
        <f t="shared" si="16"/>
        <v>разово</v>
      </c>
      <c r="I171" s="167">
        <f t="shared" si="20"/>
        <v>1</v>
      </c>
      <c r="J171" s="167"/>
      <c r="M171" s="22" t="s">
        <v>72</v>
      </c>
      <c r="N171" s="1" t="str">
        <v>Испытание ограждений кровли крыши.</v>
      </c>
    </row>
    <row r="172" spans="1:14" ht="28.5" customHeight="1">
      <c r="A172" s="165" t="str">
        <f t="shared" si="18"/>
        <v>Ремонт прибора учета тепловой энергии.</v>
      </c>
      <c r="B172" s="165"/>
      <c r="C172" s="165"/>
      <c r="D172" s="165"/>
      <c r="E172" s="165"/>
      <c r="F172" s="166">
        <f t="shared" si="19"/>
        <v>5428</v>
      </c>
      <c r="G172" s="166"/>
      <c r="H172" s="29" t="str">
        <f t="shared" si="16"/>
        <v>разово</v>
      </c>
      <c r="I172" s="167">
        <f t="shared" si="20"/>
        <v>1</v>
      </c>
      <c r="J172" s="167"/>
      <c r="M172" s="22" t="s">
        <v>72</v>
      </c>
      <c r="N172" s="1" t="str">
        <v>Ремонт прибора учета тепловой энергии.</v>
      </c>
    </row>
    <row r="173" spans="1:14" ht="28.5" customHeight="1">
      <c r="A173" s="165" t="str">
        <f t="shared" si="18"/>
        <v>Приобретение и установка пожарных рукавов и стволов (4 шт.)</v>
      </c>
      <c r="B173" s="165"/>
      <c r="C173" s="165"/>
      <c r="D173" s="165"/>
      <c r="E173" s="165"/>
      <c r="F173" s="166">
        <f t="shared" si="19"/>
        <v>5836</v>
      </c>
      <c r="G173" s="166"/>
      <c r="H173" s="29" t="str">
        <f t="shared" si="16"/>
        <v>разово</v>
      </c>
      <c r="I173" s="167">
        <f t="shared" si="20"/>
        <v>1</v>
      </c>
      <c r="J173" s="167"/>
      <c r="M173" s="22" t="s">
        <v>72</v>
      </c>
      <c r="N173" s="1" t="str">
        <v>Приобретение и установка пожарных рукавов и стволов (4 шт.)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66">
        <f t="shared" si="19"/>
        <v>0</v>
      </c>
      <c r="G174" s="166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66">
        <f t="shared" si="19"/>
        <v>0</v>
      </c>
      <c r="G175" s="166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66">
        <f t="shared" si="19"/>
        <v>0</v>
      </c>
      <c r="G176" s="166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66">
        <f t="shared" si="19"/>
        <v>0</v>
      </c>
      <c r="G177" s="166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66">
        <f t="shared" si="19"/>
        <v>0</v>
      </c>
      <c r="G178" s="166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66">
        <f t="shared" si="19"/>
        <v>0</v>
      </c>
      <c r="G179" s="166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66">
        <f t="shared" si="19"/>
        <v>0</v>
      </c>
      <c r="G180" s="166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66">
        <f t="shared" si="19"/>
        <v>0</v>
      </c>
      <c r="G181" s="166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66">
        <f t="shared" si="19"/>
        <v>0</v>
      </c>
      <c r="G182" s="166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66">
        <f t="shared" si="19"/>
        <v>0</v>
      </c>
      <c r="G183" s="166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66">
        <f t="shared" si="19"/>
        <v>0</v>
      </c>
      <c r="G184" s="166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66">
        <f t="shared" si="19"/>
        <v>0</v>
      </c>
      <c r="G185" s="166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66">
        <f t="shared" si="19"/>
        <v>0</v>
      </c>
      <c r="G186" s="166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66">
        <f t="shared" si="19"/>
        <v>0</v>
      </c>
      <c r="G187" s="166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8" t="s">
        <v>191</v>
      </c>
      <c r="B190" s="168"/>
      <c r="C190" s="168"/>
      <c r="D190" s="168"/>
      <c r="E190" s="27">
        <f>SUM(F158:G187)</f>
        <v>296476.90000000002</v>
      </c>
    </row>
    <row r="191" spans="1:14" ht="51.75" customHeight="1">
      <c r="A191" s="168" t="s">
        <v>190</v>
      </c>
      <c r="B191" s="168"/>
      <c r="C191" s="168"/>
      <c r="D191" s="168"/>
      <c r="E191" s="27">
        <f>E190+E154-E155</f>
        <v>-121364.02999999997</v>
      </c>
    </row>
    <row r="192" spans="1:14">
      <c r="A192" s="104" t="s">
        <v>174</v>
      </c>
    </row>
    <row r="193" spans="1:10" ht="62.25" customHeight="1">
      <c r="A193" s="193" t="s">
        <v>189</v>
      </c>
      <c r="B193" s="193"/>
      <c r="C193" s="193"/>
      <c r="D193" s="193"/>
      <c r="E193" s="193"/>
      <c r="F193" s="193"/>
      <c r="G193" s="193"/>
      <c r="H193" s="193"/>
      <c r="I193" s="193"/>
      <c r="J193" s="193"/>
    </row>
    <row r="194" spans="1:10">
      <c r="A194" s="192" t="str">
        <f>ПТО!F12</f>
        <v xml:space="preserve">  -  поверка (замена) манометров и термометров</v>
      </c>
      <c r="B194" s="192"/>
      <c r="C194" s="192"/>
      <c r="D194" s="192"/>
      <c r="E194" s="192"/>
      <c r="F194" s="192"/>
      <c r="G194" s="192"/>
      <c r="H194" s="49">
        <f>ПТО!G12</f>
        <v>1200</v>
      </c>
      <c r="I194" s="50" t="s">
        <v>74</v>
      </c>
    </row>
    <row r="195" spans="1:10" ht="18.75" customHeight="1">
      <c r="A195" s="192" t="str">
        <f>ПТО!F13</f>
        <v xml:space="preserve">  -  техническое освидетельствование лифтов</v>
      </c>
      <c r="B195" s="192"/>
      <c r="C195" s="192"/>
      <c r="D195" s="192"/>
      <c r="E195" s="192"/>
      <c r="F195" s="192"/>
      <c r="G195" s="192"/>
      <c r="H195" s="49">
        <f>ПТО!G13</f>
        <v>16200</v>
      </c>
      <c r="I195" s="50" t="s">
        <v>74</v>
      </c>
    </row>
    <row r="196" spans="1:10" ht="18.75" customHeight="1">
      <c r="A196" s="192" t="str">
        <f>ПТО!F14</f>
        <v xml:space="preserve">  -  техническое обслуживание системы видеонаблюдения</v>
      </c>
      <c r="B196" s="192"/>
      <c r="C196" s="192"/>
      <c r="D196" s="192"/>
      <c r="E196" s="192"/>
      <c r="F196" s="192"/>
      <c r="G196" s="192"/>
      <c r="H196" s="49">
        <f>ПТО!G14</f>
        <v>20400</v>
      </c>
      <c r="I196" s="50" t="s">
        <v>74</v>
      </c>
    </row>
    <row r="197" spans="1:10" ht="18.75" customHeight="1">
      <c r="A197" s="192" t="str">
        <f>ПТО!F15</f>
        <v xml:space="preserve">  -  монтаж видео камер на лифтовых площадках 15 шт.</v>
      </c>
      <c r="B197" s="192"/>
      <c r="C197" s="192"/>
      <c r="D197" s="192"/>
      <c r="E197" s="192"/>
      <c r="F197" s="192"/>
      <c r="G197" s="192"/>
      <c r="H197" s="49">
        <f>ПТО!G15</f>
        <v>230000</v>
      </c>
      <c r="I197" s="50" t="s">
        <v>74</v>
      </c>
    </row>
    <row r="198" spans="1:10" ht="18.75" customHeight="1">
      <c r="A198" s="192" t="str">
        <f>ПТО!F16</f>
        <v xml:space="preserve">  -  покраска металлического ограждения</v>
      </c>
      <c r="B198" s="192"/>
      <c r="C198" s="192"/>
      <c r="D198" s="192"/>
      <c r="E198" s="192"/>
      <c r="F198" s="192"/>
      <c r="G198" s="192"/>
      <c r="H198" s="49">
        <f>ПТО!G16</f>
        <v>4000</v>
      </c>
      <c r="I198" s="52" t="s">
        <v>74</v>
      </c>
    </row>
    <row r="199" spans="1:10" ht="18.75" customHeight="1">
      <c r="A199" s="192" t="str">
        <f>ПТО!F17</f>
        <v xml:space="preserve">  -  покраска (обновление) бордюров и разлиновка парковочных мест</v>
      </c>
      <c r="B199" s="192"/>
      <c r="C199" s="192"/>
      <c r="D199" s="192"/>
      <c r="E199" s="192"/>
      <c r="F199" s="192"/>
      <c r="G199" s="192"/>
      <c r="H199" s="49">
        <f>ПТО!G17</f>
        <v>9000</v>
      </c>
      <c r="I199" s="50" t="s">
        <v>74</v>
      </c>
    </row>
    <row r="200" spans="1:10">
      <c r="A200" s="192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92"/>
      <c r="C200" s="192"/>
      <c r="D200" s="192"/>
      <c r="E200" s="192"/>
      <c r="F200" s="192"/>
      <c r="G200" s="192"/>
      <c r="H200" s="49">
        <f>ПТО!G18</f>
        <v>12000</v>
      </c>
      <c r="I200" s="50" t="s">
        <v>74</v>
      </c>
    </row>
    <row r="201" spans="1:10">
      <c r="A201" s="192" t="str">
        <f>ПТО!F19</f>
        <v xml:space="preserve">  -  ремонт асфальтного покрытия (трещины, ямы)  специализированной организацией</v>
      </c>
      <c r="B201" s="192"/>
      <c r="C201" s="192"/>
      <c r="D201" s="192"/>
      <c r="E201" s="192"/>
      <c r="F201" s="192"/>
      <c r="G201" s="192"/>
      <c r="H201" s="49">
        <f>ПТО!G19</f>
        <v>25000</v>
      </c>
      <c r="I201" s="50" t="s">
        <v>74</v>
      </c>
    </row>
    <row r="202" spans="1:10">
      <c r="A202" s="192" t="str">
        <f>ПТО!F20</f>
        <v xml:space="preserve">  -  замена светильников на лестничном марше</v>
      </c>
      <c r="B202" s="192"/>
      <c r="C202" s="192"/>
      <c r="D202" s="192"/>
      <c r="E202" s="192"/>
      <c r="F202" s="192"/>
      <c r="G202" s="192"/>
      <c r="H202" s="49">
        <f>ПТО!G20</f>
        <v>20000</v>
      </c>
      <c r="I202" s="50" t="s">
        <v>74</v>
      </c>
    </row>
    <row r="203" spans="1:10" hidden="1">
      <c r="A203" s="192">
        <f>ПТО!F21</f>
        <v>0</v>
      </c>
      <c r="B203" s="192"/>
      <c r="C203" s="192"/>
      <c r="D203" s="192"/>
      <c r="E203" s="192"/>
      <c r="F203" s="192"/>
      <c r="G203" s="192"/>
      <c r="H203" s="49">
        <f>ПТО!G21</f>
        <v>0</v>
      </c>
      <c r="I203" s="50" t="s">
        <v>74</v>
      </c>
    </row>
    <row r="204" spans="1:10" hidden="1">
      <c r="A204" s="192">
        <f>ПТО!F22</f>
        <v>0</v>
      </c>
      <c r="B204" s="192"/>
      <c r="C204" s="192"/>
      <c r="D204" s="192"/>
      <c r="E204" s="192"/>
      <c r="F204" s="192"/>
      <c r="G204" s="192"/>
      <c r="H204" s="49">
        <f>ПТО!G22</f>
        <v>0</v>
      </c>
      <c r="I204" s="50" t="s">
        <v>74</v>
      </c>
    </row>
    <row r="205" spans="1:10" hidden="1">
      <c r="A205" s="192">
        <f>ПТО!F23</f>
        <v>0</v>
      </c>
      <c r="B205" s="192"/>
      <c r="C205" s="192"/>
      <c r="D205" s="192"/>
      <c r="E205" s="192"/>
      <c r="F205" s="192"/>
      <c r="G205" s="192"/>
      <c r="H205" s="49">
        <f>ПТО!G23</f>
        <v>0</v>
      </c>
      <c r="I205" s="50" t="s">
        <v>74</v>
      </c>
    </row>
    <row r="206" spans="1:10" hidden="1">
      <c r="A206" s="192">
        <f>ПТО!F24</f>
        <v>0</v>
      </c>
      <c r="B206" s="192"/>
      <c r="C206" s="192"/>
      <c r="D206" s="192"/>
      <c r="E206" s="192"/>
      <c r="F206" s="192"/>
      <c r="G206" s="192"/>
      <c r="H206" s="49">
        <f>ПТО!G24</f>
        <v>0</v>
      </c>
      <c r="I206" s="50" t="s">
        <v>74</v>
      </c>
    </row>
    <row r="207" spans="1:10" hidden="1">
      <c r="A207" s="192">
        <f>ПТО!F25</f>
        <v>0</v>
      </c>
      <c r="B207" s="192"/>
      <c r="C207" s="192"/>
      <c r="D207" s="192"/>
      <c r="E207" s="192"/>
      <c r="F207" s="192"/>
      <c r="G207" s="192"/>
      <c r="H207" s="49">
        <f>ПТО!G25</f>
        <v>0</v>
      </c>
      <c r="I207" s="50" t="s">
        <v>74</v>
      </c>
    </row>
    <row r="208" spans="1:10" hidden="1">
      <c r="A208" s="192">
        <f>ПТО!F26</f>
        <v>0</v>
      </c>
      <c r="B208" s="192"/>
      <c r="C208" s="192"/>
      <c r="D208" s="192"/>
      <c r="E208" s="192"/>
      <c r="F208" s="192"/>
      <c r="G208" s="192"/>
      <c r="H208" s="49">
        <f>ПТО!G26</f>
        <v>0</v>
      </c>
      <c r="I208" s="50" t="s">
        <v>74</v>
      </c>
    </row>
    <row r="209" spans="1:9" hidden="1">
      <c r="A209" s="192">
        <f>ПТО!F27</f>
        <v>0</v>
      </c>
      <c r="B209" s="192"/>
      <c r="C209" s="192"/>
      <c r="D209" s="192"/>
      <c r="E209" s="192"/>
      <c r="F209" s="192"/>
      <c r="G209" s="192"/>
      <c r="H209" s="49">
        <f>ПТО!G27</f>
        <v>0</v>
      </c>
      <c r="I209" s="50" t="s">
        <v>74</v>
      </c>
    </row>
    <row r="210" spans="1:9" hidden="1">
      <c r="A210" s="192">
        <f>ПТО!F28</f>
        <v>0</v>
      </c>
      <c r="B210" s="192"/>
      <c r="C210" s="192"/>
      <c r="D210" s="192"/>
      <c r="E210" s="192"/>
      <c r="F210" s="192"/>
      <c r="G210" s="192"/>
      <c r="H210" s="49">
        <f>ПТО!G28</f>
        <v>0</v>
      </c>
      <c r="I210" s="50" t="s">
        <v>74</v>
      </c>
    </row>
    <row r="211" spans="1:9" hidden="1">
      <c r="A211" s="192">
        <f>ПТО!F29</f>
        <v>0</v>
      </c>
      <c r="B211" s="192"/>
      <c r="C211" s="192"/>
      <c r="D211" s="192"/>
      <c r="E211" s="192"/>
      <c r="F211" s="192"/>
      <c r="G211" s="192"/>
      <c r="H211" s="49">
        <f>ПТО!G29</f>
        <v>0</v>
      </c>
      <c r="I211" s="50" t="s">
        <v>74</v>
      </c>
    </row>
    <row r="212" spans="1:9" hidden="1">
      <c r="A212" s="192">
        <f>ПТО!F30</f>
        <v>0</v>
      </c>
      <c r="B212" s="192"/>
      <c r="C212" s="192"/>
      <c r="D212" s="192"/>
      <c r="E212" s="192"/>
      <c r="F212" s="192"/>
      <c r="G212" s="192"/>
      <c r="H212" s="49">
        <f>ПТО!G30</f>
        <v>0</v>
      </c>
      <c r="I212" s="50" t="s">
        <v>74</v>
      </c>
    </row>
    <row r="213" spans="1:9" hidden="1">
      <c r="A213" s="192">
        <f>ПТО!F31</f>
        <v>0</v>
      </c>
      <c r="B213" s="192"/>
      <c r="C213" s="192"/>
      <c r="D213" s="192"/>
      <c r="E213" s="192"/>
      <c r="F213" s="192"/>
      <c r="G213" s="19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337800</v>
      </c>
      <c r="I214" s="56" t="s">
        <v>77</v>
      </c>
    </row>
  </sheetData>
  <sheetProtection algorithmName="SHA-512" hashValue="xetXt/6ibglhkyIYQas/+/V7Of+OplcDpdh7n9bQMC6QIhxEPWDOu/hADYQh+IXzE/KzIc07h79WR/dn/Q31CA==" saltValue="BguE2juhUvdErEOoCfvf4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193</v>
      </c>
      <c r="G1" s="101">
        <f>-55584.93</f>
        <v>-55584.93</v>
      </c>
    </row>
    <row r="2" spans="1:12" ht="18.75" customHeight="1">
      <c r="A2" s="118" t="s">
        <v>178</v>
      </c>
      <c r="B2" s="120" t="s">
        <v>179</v>
      </c>
      <c r="C2" s="120">
        <v>2</v>
      </c>
      <c r="D2" s="121">
        <v>16200</v>
      </c>
      <c r="E2" s="123" t="s">
        <v>221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194</v>
      </c>
      <c r="B3" s="119" t="s">
        <v>180</v>
      </c>
      <c r="C3" s="119">
        <v>12</v>
      </c>
      <c r="D3" s="122">
        <f>1700*12</f>
        <v>20400</v>
      </c>
      <c r="E3" s="123" t="s">
        <v>222</v>
      </c>
      <c r="F3" s="30"/>
      <c r="G3" s="30"/>
      <c r="L3" s="33" t="str">
        <f t="shared" si="0"/>
        <v>ТР</v>
      </c>
    </row>
    <row r="4" spans="1:12" ht="18.75" customHeight="1">
      <c r="A4" s="137" t="s">
        <v>197</v>
      </c>
      <c r="B4" s="138" t="s">
        <v>181</v>
      </c>
      <c r="C4" s="139">
        <v>1</v>
      </c>
      <c r="D4" s="140">
        <v>484</v>
      </c>
      <c r="E4" s="141" t="s">
        <v>202</v>
      </c>
      <c r="F4" s="30"/>
      <c r="G4" s="30"/>
      <c r="L4" s="33" t="str">
        <f t="shared" si="0"/>
        <v>ТР</v>
      </c>
    </row>
    <row r="5" spans="1:12" ht="18.75" customHeight="1">
      <c r="A5" s="164" t="s">
        <v>226</v>
      </c>
      <c r="B5" s="142" t="s">
        <v>181</v>
      </c>
      <c r="C5" s="119">
        <v>2</v>
      </c>
      <c r="D5" s="122">
        <v>54368.56</v>
      </c>
      <c r="E5" s="143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44" t="s">
        <v>195</v>
      </c>
      <c r="B6" s="145" t="s">
        <v>181</v>
      </c>
      <c r="C6" s="119">
        <v>1</v>
      </c>
      <c r="D6" s="121">
        <v>7292.74</v>
      </c>
      <c r="E6" s="124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52" t="s">
        <v>198</v>
      </c>
      <c r="B7" s="153" t="s">
        <v>181</v>
      </c>
      <c r="C7" s="119">
        <v>1</v>
      </c>
      <c r="D7" s="121">
        <v>35297.800000000003</v>
      </c>
      <c r="E7" s="124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46" t="s">
        <v>199</v>
      </c>
      <c r="B8" s="147" t="s">
        <v>181</v>
      </c>
      <c r="C8" s="119">
        <v>1</v>
      </c>
      <c r="D8" s="121">
        <v>2300</v>
      </c>
      <c r="E8" s="124" t="s">
        <v>205</v>
      </c>
      <c r="F8" s="45"/>
      <c r="G8" s="45"/>
      <c r="K8" s="43"/>
      <c r="L8" s="33" t="str">
        <f t="shared" si="0"/>
        <v>ТР</v>
      </c>
    </row>
    <row r="9" spans="1:12">
      <c r="A9" s="128" t="s">
        <v>196</v>
      </c>
      <c r="B9" s="130" t="s">
        <v>181</v>
      </c>
      <c r="C9" s="135">
        <v>1</v>
      </c>
      <c r="D9" s="136">
        <v>250</v>
      </c>
      <c r="E9" s="124" t="s">
        <v>200</v>
      </c>
      <c r="F9" s="44"/>
      <c r="G9" s="44"/>
      <c r="K9" s="43"/>
      <c r="L9" s="33" t="str">
        <f t="shared" si="0"/>
        <v>ТР</v>
      </c>
    </row>
    <row r="10" spans="1:12">
      <c r="A10" s="149" t="s">
        <v>201</v>
      </c>
      <c r="B10" s="148" t="s">
        <v>181</v>
      </c>
      <c r="C10" s="120">
        <v>1</v>
      </c>
      <c r="D10" s="121">
        <f>584.8+10915</f>
        <v>11499.8</v>
      </c>
      <c r="E10" s="126" t="s">
        <v>206</v>
      </c>
      <c r="L10" s="33" t="str">
        <f t="shared" si="0"/>
        <v>ТР</v>
      </c>
    </row>
    <row r="11" spans="1:12" ht="94.5">
      <c r="A11" s="150" t="s">
        <v>207</v>
      </c>
      <c r="B11" s="151" t="s">
        <v>181</v>
      </c>
      <c r="C11" s="119">
        <v>1</v>
      </c>
      <c r="D11" s="121">
        <v>4500</v>
      </c>
      <c r="E11" s="124" t="s">
        <v>208</v>
      </c>
      <c r="F11" s="111" t="s">
        <v>189</v>
      </c>
      <c r="G11" s="111"/>
      <c r="L11" s="33" t="str">
        <f t="shared" si="0"/>
        <v>ТР</v>
      </c>
    </row>
    <row r="12" spans="1:12" ht="31.5">
      <c r="A12" s="154" t="s">
        <v>211</v>
      </c>
      <c r="B12" s="148" t="s">
        <v>181</v>
      </c>
      <c r="C12" s="120">
        <v>1</v>
      </c>
      <c r="D12" s="121">
        <v>6060</v>
      </c>
      <c r="E12" s="126" t="s">
        <v>210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5" t="s">
        <v>212</v>
      </c>
      <c r="B13" s="156" t="s">
        <v>181</v>
      </c>
      <c r="C13" s="119">
        <v>1</v>
      </c>
      <c r="D13" s="121">
        <v>110710</v>
      </c>
      <c r="E13" s="124" t="s">
        <v>214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58" t="s">
        <v>215</v>
      </c>
      <c r="B14" s="157" t="s">
        <v>181</v>
      </c>
      <c r="C14" s="119">
        <v>1</v>
      </c>
      <c r="D14" s="121">
        <v>7800</v>
      </c>
      <c r="E14" s="124" t="s">
        <v>216</v>
      </c>
      <c r="F14" s="112" t="s">
        <v>75</v>
      </c>
      <c r="G14" s="114">
        <v>20400</v>
      </c>
      <c r="L14" s="33" t="str">
        <f t="shared" si="0"/>
        <v>ТР</v>
      </c>
    </row>
    <row r="15" spans="1:12" ht="31.5">
      <c r="A15" s="159" t="s">
        <v>213</v>
      </c>
      <c r="B15" s="157" t="s">
        <v>181</v>
      </c>
      <c r="C15" s="119">
        <v>1</v>
      </c>
      <c r="D15" s="121">
        <v>8050</v>
      </c>
      <c r="E15" s="124" t="s">
        <v>217</v>
      </c>
      <c r="F15" s="112" t="s">
        <v>223</v>
      </c>
      <c r="G15" s="113">
        <v>230000</v>
      </c>
      <c r="L15" s="33" t="str">
        <f t="shared" si="0"/>
        <v>ТР</v>
      </c>
    </row>
    <row r="16" spans="1:12" ht="31.5">
      <c r="A16" s="160" t="s">
        <v>218</v>
      </c>
      <c r="B16" s="161" t="s">
        <v>181</v>
      </c>
      <c r="C16" s="120">
        <v>1</v>
      </c>
      <c r="D16" s="121">
        <v>5428</v>
      </c>
      <c r="E16" s="126" t="s">
        <v>219</v>
      </c>
      <c r="F16" s="112" t="s">
        <v>184</v>
      </c>
      <c r="G16" s="113">
        <v>4000</v>
      </c>
      <c r="L16" s="33" t="str">
        <f t="shared" si="0"/>
        <v>ТР</v>
      </c>
    </row>
    <row r="17" spans="1:12" ht="31.5">
      <c r="A17" s="162" t="s">
        <v>225</v>
      </c>
      <c r="B17" s="163" t="s">
        <v>181</v>
      </c>
      <c r="C17" s="120">
        <v>1</v>
      </c>
      <c r="D17" s="121">
        <v>5836</v>
      </c>
      <c r="E17" s="126" t="s">
        <v>220</v>
      </c>
      <c r="F17" s="112" t="s">
        <v>185</v>
      </c>
      <c r="G17" s="113">
        <v>9000</v>
      </c>
      <c r="L17" s="33" t="str">
        <f t="shared" si="0"/>
        <v>ТР</v>
      </c>
    </row>
    <row r="18" spans="1:12" ht="63">
      <c r="A18" s="30"/>
      <c r="B18" s="119"/>
      <c r="C18" s="120"/>
      <c r="D18" s="121"/>
      <c r="E18" s="127"/>
      <c r="F18" s="112" t="s">
        <v>186</v>
      </c>
      <c r="G18" s="113">
        <v>12000</v>
      </c>
      <c r="L18" s="33">
        <f t="shared" si="0"/>
        <v>0</v>
      </c>
    </row>
    <row r="19" spans="1:12" ht="47.25">
      <c r="A19" s="133"/>
      <c r="B19" s="119"/>
      <c r="C19" s="120"/>
      <c r="D19" s="121"/>
      <c r="E19" s="126"/>
      <c r="F19" s="112" t="s">
        <v>187</v>
      </c>
      <c r="G19" s="113">
        <v>25000</v>
      </c>
      <c r="L19" s="33">
        <f t="shared" si="0"/>
        <v>0</v>
      </c>
    </row>
    <row r="20" spans="1:12" ht="31.5">
      <c r="A20" s="128"/>
      <c r="B20" s="119"/>
      <c r="C20" s="120"/>
      <c r="D20" s="125"/>
      <c r="E20" s="127"/>
      <c r="F20" s="112" t="s">
        <v>224</v>
      </c>
      <c r="G20" s="113">
        <v>20000</v>
      </c>
      <c r="L20" s="33">
        <f t="shared" si="0"/>
        <v>0</v>
      </c>
    </row>
    <row r="21" spans="1:12" ht="15.75">
      <c r="A21" s="128"/>
      <c r="B21" s="119"/>
      <c r="C21" s="120"/>
      <c r="D21" s="125"/>
      <c r="E21" s="124"/>
      <c r="F21" s="112"/>
      <c r="G21" s="113"/>
      <c r="L21" s="33">
        <f t="shared" si="0"/>
        <v>0</v>
      </c>
    </row>
    <row r="22" spans="1:12" ht="15.75">
      <c r="A22" s="128"/>
      <c r="B22" s="119"/>
      <c r="C22" s="120"/>
      <c r="D22" s="125"/>
      <c r="E22" s="124"/>
      <c r="F22" s="112"/>
      <c r="G22" s="113"/>
      <c r="L22" s="33">
        <f t="shared" si="0"/>
        <v>0</v>
      </c>
    </row>
    <row r="23" spans="1:12" ht="15.75">
      <c r="A23" s="133"/>
      <c r="B23" s="119"/>
      <c r="C23" s="120"/>
      <c r="D23" s="121"/>
      <c r="E23" s="126"/>
      <c r="F23" s="112"/>
      <c r="G23" s="113"/>
      <c r="L23" s="33">
        <f t="shared" ref="L23:L31" si="1">IF(A23&gt;0,"ТР",0)</f>
        <v>0</v>
      </c>
    </row>
    <row r="24" spans="1:12" ht="15.75">
      <c r="A24" s="129"/>
      <c r="B24" s="119"/>
      <c r="C24" s="130"/>
      <c r="D24" s="121"/>
      <c r="E24" s="127"/>
      <c r="F24" s="112"/>
      <c r="G24" s="113"/>
      <c r="L24" s="33">
        <f t="shared" si="1"/>
        <v>0</v>
      </c>
    </row>
    <row r="25" spans="1:12" ht="15.75">
      <c r="F25" s="131"/>
      <c r="G25" s="132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556968.6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556968.6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169354.68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169354.68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79696.320000000007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79696.320000000007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108676.8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108676.8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70639.92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70639.92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201052.08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201052.08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452820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452820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mKuwaqneYpP091fAirhQta9XwZjfTOlUEnZztIrLqcMmejCqLt2RiIOwA4mBM6QsjBYsD07+Dr3ULPI2IceiA==" saltValue="gu2lqSQDQzmy/1YE2jn8K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7547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1531895.9699999997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2012926.7799999996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1650670.7799999996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362256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1982308.34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1982308.34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1982308.34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1562514.409999999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6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6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6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6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5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5"/>
      <c r="N26" s="63"/>
    </row>
    <row r="27" spans="1:15" ht="18.75" customHeight="1">
      <c r="A27" s="70" t="s">
        <v>105</v>
      </c>
      <c r="B27" s="75" t="s">
        <v>4</v>
      </c>
      <c r="C27" s="86">
        <v>213133.49</v>
      </c>
      <c r="D27" s="81" t="s">
        <v>60</v>
      </c>
      <c r="E27" s="64"/>
      <c r="F27" s="64"/>
      <c r="G27" s="64"/>
      <c r="H27" s="64"/>
      <c r="I27" s="64"/>
      <c r="J27" s="64"/>
      <c r="M27" s="195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5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5"/>
      <c r="N29" s="63"/>
    </row>
    <row r="30" spans="1:15" ht="18.75" customHeight="1">
      <c r="A30" s="70" t="s">
        <v>108</v>
      </c>
      <c r="B30" s="75" t="s">
        <v>18</v>
      </c>
      <c r="C30" s="86">
        <v>216145.06</v>
      </c>
      <c r="D30" s="81" t="s">
        <v>66</v>
      </c>
      <c r="E30" s="64"/>
      <c r="F30" s="64"/>
      <c r="G30" s="64"/>
      <c r="H30" s="64"/>
      <c r="I30" s="64"/>
      <c r="J30" s="64"/>
      <c r="M30" s="195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5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5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5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5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451073.76999999996</v>
      </c>
      <c r="F37" s="94" t="s">
        <v>167</v>
      </c>
      <c r="G37" s="66"/>
      <c r="H37" s="66"/>
      <c r="I37" s="66"/>
      <c r="L37" s="63"/>
      <c r="M37" s="194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395678.74561403511</v>
      </c>
      <c r="D38" s="94" t="s">
        <v>165</v>
      </c>
      <c r="E38" s="68"/>
      <c r="G38" s="67"/>
      <c r="H38" s="67"/>
      <c r="L38" s="63"/>
      <c r="M38" s="194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448648.24000000005</v>
      </c>
      <c r="D39" s="94" t="s">
        <v>166</v>
      </c>
      <c r="E39" s="68"/>
      <c r="G39" s="67"/>
      <c r="H39" s="67"/>
      <c r="L39" s="63"/>
      <c r="M39" s="194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2425.5299999999115</v>
      </c>
      <c r="D40" s="80" t="s">
        <v>59</v>
      </c>
      <c r="E40" s="68"/>
      <c r="G40" s="67"/>
      <c r="H40" s="67"/>
      <c r="L40" s="63"/>
      <c r="M40" s="194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451073.76999999996</v>
      </c>
      <c r="D41" s="80" t="s">
        <v>59</v>
      </c>
      <c r="E41" s="68"/>
      <c r="G41" s="67"/>
      <c r="H41" s="67"/>
      <c r="L41" s="63"/>
      <c r="M41" s="194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451073.76999999996</v>
      </c>
      <c r="D42" s="80" t="s">
        <v>59</v>
      </c>
      <c r="E42" s="68"/>
      <c r="G42" s="67"/>
      <c r="H42" s="67"/>
      <c r="L42" s="63"/>
      <c r="M42" s="194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4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4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209834.37</v>
      </c>
      <c r="F45" s="94" t="s">
        <v>167</v>
      </c>
      <c r="G45" s="66"/>
      <c r="H45" s="66"/>
      <c r="L45" s="63"/>
      <c r="M45" s="194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15508.822616407982</v>
      </c>
      <c r="D46" s="94" t="s">
        <v>168</v>
      </c>
      <c r="E46" s="68"/>
      <c r="G46" s="67"/>
      <c r="H46" s="67"/>
      <c r="L46" s="63"/>
      <c r="M46" s="194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217029.37999999995</v>
      </c>
      <c r="D47" s="94" t="s">
        <v>166</v>
      </c>
      <c r="E47" s="68"/>
      <c r="G47" s="67"/>
      <c r="H47" s="67"/>
      <c r="L47" s="63"/>
      <c r="M47" s="194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4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209834.37</v>
      </c>
      <c r="D49" s="80" t="s">
        <v>59</v>
      </c>
      <c r="E49" s="68"/>
      <c r="G49" s="67"/>
      <c r="H49" s="67"/>
      <c r="L49" s="63"/>
      <c r="M49" s="194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209834.37</v>
      </c>
      <c r="D50" s="80" t="s">
        <v>59</v>
      </c>
      <c r="E50" s="68"/>
      <c r="G50" s="67"/>
      <c r="H50" s="67"/>
      <c r="L50" s="63"/>
      <c r="M50" s="194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4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4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246319.99999999994</v>
      </c>
      <c r="F53" s="94" t="s">
        <v>167</v>
      </c>
      <c r="G53" s="66"/>
      <c r="H53" s="66"/>
      <c r="L53" s="63"/>
      <c r="M53" s="194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15963.707064160722</v>
      </c>
      <c r="D54" s="94" t="s">
        <v>168</v>
      </c>
      <c r="E54" s="69"/>
      <c r="F54" s="89"/>
      <c r="G54" s="64"/>
      <c r="H54" s="64"/>
      <c r="L54" s="63"/>
      <c r="M54" s="194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245209.43999999989</v>
      </c>
      <c r="D55" s="94" t="s">
        <v>166</v>
      </c>
      <c r="E55" s="69"/>
      <c r="G55" s="64"/>
      <c r="H55" s="64"/>
      <c r="L55" s="63"/>
      <c r="M55" s="194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1110.5600000000559</v>
      </c>
      <c r="D56" s="80" t="s">
        <v>59</v>
      </c>
      <c r="E56" s="69"/>
      <c r="G56" s="64"/>
      <c r="H56" s="64"/>
      <c r="L56" s="63"/>
      <c r="M56" s="194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246319.99999999994</v>
      </c>
      <c r="D57" s="80" t="s">
        <v>59</v>
      </c>
      <c r="E57" s="69"/>
      <c r="G57" s="64"/>
      <c r="H57" s="64"/>
      <c r="L57" s="63"/>
      <c r="M57" s="194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246319.99999999994</v>
      </c>
      <c r="D58" s="80" t="s">
        <v>59</v>
      </c>
      <c r="E58" s="69"/>
      <c r="G58" s="64"/>
      <c r="H58" s="64"/>
      <c r="L58" s="63"/>
      <c r="M58" s="194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4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4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365966.5199999999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645.54606551304425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357009.57000000007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8956.949999999837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365966.5199999999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365966.5199999999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214581.16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2021-03-23T08:07:43Z</dcterms:modified>
</cp:coreProperties>
</file>