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5" i="1"/>
  <c r="G94" i="1"/>
  <c r="K94" i="1"/>
  <c r="A123" i="1" l="1"/>
  <c r="D110" i="1"/>
  <c r="A112" i="1"/>
  <c r="A116" i="1"/>
  <c r="A119" i="1"/>
  <c r="A125" i="1"/>
  <c r="F110" i="1"/>
  <c r="A113" i="1"/>
  <c r="A118" i="1"/>
  <c r="A121" i="1"/>
  <c r="A141" i="1"/>
  <c r="F134" i="1"/>
  <c r="A137" i="1"/>
  <c r="A94" i="1"/>
  <c r="A96" i="1"/>
  <c r="D94" i="1"/>
  <c r="A99" i="1"/>
  <c r="A103" i="1"/>
  <c r="A106" i="1"/>
  <c r="A138" i="1"/>
  <c r="F94" i="1"/>
  <c r="A97" i="1"/>
  <c r="A101" i="1"/>
  <c r="A102" i="1"/>
  <c r="A107" i="1"/>
  <c r="A134" i="1"/>
  <c r="A135" i="1"/>
  <c r="A139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0" i="1" l="1"/>
  <c r="A170" i="1" s="1"/>
  <c r="I170" i="1" s="1"/>
  <c r="N159" i="1"/>
  <c r="A159" i="1" s="1"/>
  <c r="N163" i="1"/>
  <c r="A163" i="1" s="1"/>
  <c r="N166" i="1"/>
  <c r="A166" i="1" s="1"/>
  <c r="I166" i="1" s="1"/>
  <c r="N175" i="1"/>
  <c r="A175" i="1" s="1"/>
  <c r="I175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9" i="1"/>
  <c r="A169" i="1" s="1"/>
  <c r="I169" i="1" s="1"/>
  <c r="N186" i="1"/>
  <c r="A186" i="1" s="1"/>
  <c r="I186" i="1" s="1"/>
  <c r="N160" i="1"/>
  <c r="A160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84" i="1"/>
  <c r="F183" i="1"/>
  <c r="F182" i="1"/>
  <c r="H182" i="1"/>
  <c r="H175" i="1"/>
  <c r="F174" i="1"/>
  <c r="H174" i="1"/>
  <c r="H169" i="1"/>
  <c r="F169" i="1"/>
  <c r="H167" i="1"/>
  <c r="F170" i="1"/>
  <c r="F178" i="1"/>
  <c r="F164" i="1"/>
  <c r="F172" i="1"/>
  <c r="H171" i="1"/>
  <c r="F175" i="1"/>
  <c r="H165" i="1"/>
  <c r="H178" i="1"/>
  <c r="F171" i="1"/>
  <c r="H170" i="1"/>
  <c r="F179" i="1"/>
  <c r="H187" i="1"/>
  <c r="H173" i="1"/>
  <c r="H166" i="1"/>
  <c r="H183" i="1"/>
  <c r="F165" i="1"/>
  <c r="F180" i="1"/>
  <c r="F187" i="1"/>
  <c r="H179" i="1"/>
  <c r="F176" i="1"/>
  <c r="H172" i="1"/>
  <c r="H180" i="1"/>
  <c r="H164" i="1"/>
  <c r="H168" i="1"/>
  <c r="F168" i="1"/>
  <c r="F181" i="1"/>
  <c r="H176" i="1"/>
  <c r="H181" i="1"/>
  <c r="F185" i="1"/>
  <c r="F186" i="1"/>
  <c r="H177" i="1"/>
  <c r="F173" i="1"/>
  <c r="H185" i="1"/>
  <c r="F166" i="1"/>
  <c r="F177" i="1"/>
  <c r="F167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<sst xmlns="http://schemas.openxmlformats.org/spreadsheetml/2006/main" count="552" uniqueCount="201">
  <si>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</si>
  <si>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</si>
  <si>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</si>
  <si>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</si>
  <si>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</si>
  <si>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</si>
  <si>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</si>
  <si>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</si>
  <si>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</si>
  <si>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</si>
  <si>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</si>
  <si>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</si>
  <si>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</si>
  <si>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</si>
  <si>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</si>
  <si>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</si>
  <si>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</si>
  <si>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</si>
  <si>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</si>
  <si>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</si>
  <si>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</si>
  <si>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</si>
  <si>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</si>
  <si>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</si>
  <si>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</si>
  <si>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</si>
  <si>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</si>
  <si>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</si>
  <si>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</si>
  <si>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</si>
  <si>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</si>
  <si>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</si>
  <si>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</si>
  <si>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</si>
  <si>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</si>
  <si>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</si>
  <si>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</si>
  <si>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</si>
  <si>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</si>
  <si>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</si>
  <si>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</si>
  <si>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</si>
  <si>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</si>
  <si>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</si>
  <si>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</si>
  <si>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</si>
  <si>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</si>
  <si>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</si>
  <si>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</si>
  <si>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</si>
  <si>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</si>
  <si>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</si>
  <si>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</si>
  <si>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</si>
  <si>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</si>
  <si>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</si>
  <si>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</si>
  <si>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</si>
  <si>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</si>
  <si>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</si>
  <si>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</si>
  <si>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</si>
  <si>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</si>
  <si>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</si>
  <si>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</si>
  <si>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</si>
  <si>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</si>
  <si>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</si>
  <si>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</si>
  <si>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</si>
  <si>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</si>
  <si>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</si>
  <si>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</si>
  <si>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</si>
  <si>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</si>
  <si>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</si>
  <si>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</si>
  <si>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</si>
  <si>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</si>
  <si>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</si>
  <si>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</si>
  <si>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</si>
  <si>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</si>
  <si>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</si>
  <si>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</si>
  <si>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</si>
  <si>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</si>
  <si>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</si>
  <si>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</si>
  <si>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</si>
  <si>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</si>
  <si>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</si>
  <si>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</si>
  <si>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</si>
  <si>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</si>
  <si>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</si>
  <si>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</si>
  <si>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</si>
  <si>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</si>
  <si>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</si>
  <si>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</si>
  <si>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</si>
  <si>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</si>
  <si>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</si>
  <si>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</si>
  <si>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</si>
  <si>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</si>
  <si>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</si>
  <si>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</si>
  <si>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</si>
  <si>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</si>
  <si>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</si>
  <si>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</si>
  <si>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</si>
  <si>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</si>
  <si>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</si>
  <si>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</si>
  <si>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</si>
  <si>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</si>
  <si>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</si>
  <si>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</si>
  <si>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</si>
  <si>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</si>
  <si>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</si>
  <si>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</si>
  <si>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</si>
  <si>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</si>
  <si>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</si>
  <si>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</si>
  <si>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</si>
  <si>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</si>
  <si>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</si>
  <si>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</si>
  <si>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</si>
  <si>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</si>
  <si>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</si>
  <si>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</si>
  <si>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</si>
  <si>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</si>
  <si>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</si>
  <si>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</si>
  <si>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</si>
  <si>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</si>
  <si>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</si>
  <si>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</si>
  <si>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</si>
  <si>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</si>
  <si>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</si>
  <si>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</si>
  <si>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</si>
  <si>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</si>
  <si>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</si>
  <si>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</si>
  <si>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</si>
  <si>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</si>
  <si>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</si>
  <si>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</si>
  <si>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</si>
  <si>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</si>
  <si>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</si>
  <si>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</si>
  <si>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</si>
  <si>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</si>
  <si>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</si>
  <si>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</si>
  <si>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</si>
  <si>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</si>
  <si>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</si>
  <si>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</si>
  <si>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</si>
  <si>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</si>
  <si>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</si>
  <si>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</si>
  <si>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</si>
  <si>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</si>
  <si>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</si>
  <si>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</si>
  <si>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</si>
  <si>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</si>
  <si>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разово</t>
  </si>
  <si>
    <t>Отчет об исполнении договора управления многоквартирного дома 
Багратиона, 46/8</t>
  </si>
  <si>
    <t>Отчет об исполнении договора управления многоквартирного дома 
Багратиона, 46/8 в части текущего ремонта</t>
  </si>
  <si>
    <t>Ремонт привода ворот автопарковки.</t>
  </si>
  <si>
    <t>Прочистка сетей канализации.</t>
  </si>
  <si>
    <t>Ремонт входных дверей.</t>
  </si>
  <si>
    <t>площадь дома</t>
  </si>
  <si>
    <t>Ремонт секционных ворот.</t>
  </si>
  <si>
    <t>Счет №184 от 16.12.2019</t>
  </si>
  <si>
    <t>Замена прожектора над подъездом.</t>
  </si>
  <si>
    <t>Механизированная уборка снега с придомовой территории.</t>
  </si>
  <si>
    <t>Демонтаж, монтаж системы домофон (2 подъезд).</t>
  </si>
  <si>
    <t>АВР 1 от 25.01.2019, счет №40 от 25.02.2019</t>
  </si>
  <si>
    <t>АВР 2 от 21.02.2019, Альмезов</t>
  </si>
  <si>
    <t>АВР 3 от 31.05.2019, счет №868 от 31.05.2019</t>
  </si>
  <si>
    <t>АВР 4 от 10.07.2019, счет №172 от 10.07.2019, счет №200 от 30.08.2019</t>
  </si>
  <si>
    <t>АВР 5 от 12.08.2019</t>
  </si>
  <si>
    <t>АВР 6 от 16.08.2019, акт от 16.09.2019</t>
  </si>
  <si>
    <t xml:space="preserve">  -  генеральная уборка в подъездах</t>
  </si>
  <si>
    <t xml:space="preserve">  -  ремонт подъездов</t>
  </si>
  <si>
    <t xml:space="preserve">  -  механизированная уборка снега с придомовой территории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</si>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</sst>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4" fillId="0" borderId="0"/>
  </cellStyleXfs>
  <cellXfs count="1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6" borderId="0" xfId="4" applyFont="1" applyFill="1" applyBorder="1" applyAlignment="1"/>
    <xf numFmtId="0" fontId="3" fillId="6" borderId="0" xfId="4" applyFont="1" applyFill="1" applyBorder="1" applyAlignment="1">
      <alignment horizontal="center"/>
    </xf>
    <xf numFmtId="0" fontId="7" fillId="6" borderId="0" xfId="4" applyFill="1" applyBorder="1" applyAlignment="1">
      <alignment horizontal="center"/>
    </xf>
    <xf numFmtId="4" fontId="20" fillId="6" borderId="0" xfId="4" applyNumberFormat="1" applyFont="1" applyFill="1" applyBorder="1" applyAlignment="1"/>
    <xf numFmtId="0" fontId="0" fillId="6" borderId="0" xfId="0" applyFill="1"/>
    <xf numFmtId="0" fontId="4" fillId="0" borderId="0" xfId="6" applyFill="1" applyBorder="1" applyAlignment="1"/>
    <xf numFmtId="0" fontId="4" fillId="0" borderId="0" xfId="6" applyFill="1" applyBorder="1" applyAlignment="1">
      <alignment horizontal="center"/>
    </xf>
    <xf numFmtId="4" fontId="4" fillId="0" borderId="0" xfId="6" applyNumberFormat="1" applyFill="1" applyBorder="1" applyAlignment="1"/>
    <xf numFmtId="0" fontId="0" fillId="0" borderId="0" xfId="0" applyFill="1"/>
    <xf numFmtId="0" fontId="4" fillId="0" borderId="0" xfId="6" applyFont="1" applyFill="1" applyBorder="1" applyAlignment="1">
      <alignment horizontal="center"/>
    </xf>
    <xf numFmtId="4" fontId="4" fillId="0" borderId="0" xfId="6" applyNumberFormat="1" applyFont="1" applyFill="1" applyBorder="1" applyAlignment="1"/>
    <xf numFmtId="0" fontId="20" fillId="0" borderId="0" xfId="6" applyFont="1" applyFill="1" applyBorder="1" applyAlignment="1">
      <alignment wrapText="1"/>
    </xf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6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6" sqref="A16:I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55" t="s">
        <v>180</v>
      </c>
      <c r="B2" s="155"/>
      <c r="C2" s="155"/>
      <c r="D2" s="155"/>
      <c r="E2" s="155"/>
      <c r="F2" s="155"/>
      <c r="G2" s="155"/>
      <c r="H2" s="155"/>
      <c r="I2" s="155"/>
      <c r="J2" s="15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43466</v>
      </c>
      <c r="K4" s="110"/>
      <c r="L4" s="110"/>
      <c r="M4" s="110"/>
      <c r="N4" s="110"/>
    </row>
    <row r="5" spans="1:18">
      <c r="A5" s="1" t="s">
        <v>1</v>
      </c>
      <c r="E5" s="118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0"/>
      <c r="L8" s="156"/>
      <c r="M8" s="110"/>
      <c r="N8" s="110"/>
      <c r="O8" s="70" t="s">
        <v>86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0"/>
      <c r="L9" s="156"/>
      <c r="M9" s="110"/>
      <c r="N9" s="110"/>
      <c r="O9" s="70" t="s">
        <v>87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242384.34</v>
      </c>
      <c r="K10" s="110"/>
      <c r="L10" s="156"/>
      <c r="M10" s="110"/>
      <c r="N10" s="110"/>
      <c r="O10" s="70" t="s">
        <v>88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582494.81999999995</v>
      </c>
      <c r="K11" s="110"/>
      <c r="L11" s="156"/>
      <c r="M11" s="110"/>
      <c r="N11" s="110"/>
      <c r="O11" s="70" t="s">
        <v>89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516652.74</v>
      </c>
      <c r="K12" s="110"/>
      <c r="L12" s="156"/>
      <c r="M12" s="110"/>
      <c r="N12" s="110"/>
      <c r="O12" s="70" t="s">
        <v>90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65842.080000000002</v>
      </c>
      <c r="K13" s="110"/>
      <c r="L13" s="156"/>
      <c r="M13" s="110"/>
      <c r="N13" s="110"/>
      <c r="O13" s="70" t="s">
        <v>91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0</v>
      </c>
      <c r="K14" s="110"/>
      <c r="L14" s="156"/>
      <c r="M14" s="110"/>
      <c r="N14" s="110"/>
      <c r="O14" s="70" t="s">
        <v>92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325644.84000000003</v>
      </c>
      <c r="K15" s="110"/>
      <c r="L15" s="156"/>
      <c r="M15" s="110"/>
      <c r="N15" s="110"/>
      <c r="O15" s="70" t="s">
        <v>93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325644.84000000003</v>
      </c>
      <c r="K16" s="110"/>
      <c r="L16" s="156"/>
      <c r="M16" s="110"/>
      <c r="N16" s="110"/>
      <c r="O16" s="70" t="s">
        <v>94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0"/>
      <c r="L17" s="156"/>
      <c r="M17" s="110"/>
      <c r="N17" s="110"/>
      <c r="O17" s="70" t="s">
        <v>95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0"/>
      <c r="L18" s="156"/>
      <c r="M18" s="110"/>
      <c r="N18" s="110"/>
      <c r="O18" s="70" t="s">
        <v>96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0"/>
      <c r="L19" s="156"/>
      <c r="M19" s="110"/>
      <c r="N19" s="110"/>
      <c r="O19" s="70" t="s">
        <v>97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0"/>
      <c r="L20" s="156"/>
      <c r="M20" s="110"/>
      <c r="N20" s="110"/>
      <c r="O20" s="70" t="s">
        <v>98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325644.84000000003</v>
      </c>
      <c r="K21" s="110"/>
      <c r="L21" s="156"/>
      <c r="M21" s="110"/>
      <c r="N21" s="110"/>
      <c r="O21" s="70" t="s">
        <v>99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0"/>
      <c r="L22" s="156"/>
      <c r="M22" s="110"/>
      <c r="N22" s="110"/>
      <c r="O22" s="70" t="s">
        <v>100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0"/>
      <c r="L23" s="156"/>
      <c r="M23" s="110"/>
      <c r="N23" s="110"/>
      <c r="O23" s="70" t="s">
        <v>101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499234.31999999989</v>
      </c>
      <c r="K24" s="110"/>
      <c r="L24" s="156"/>
      <c r="M24" s="110"/>
      <c r="N24" s="110"/>
      <c r="O24" s="70" t="s">
        <v>102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10"/>
      <c r="L27" s="15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127075.2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0"/>
      <c r="L28" s="15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Услуги и работы по управлению МКД</v>
      </c>
      <c r="B29" s="140"/>
      <c r="C29" s="140"/>
      <c r="D29" s="140"/>
      <c r="E29" s="140"/>
      <c r="F29" s="145">
        <f>VLOOKUP(A29,ПТО!$A$39:$D$53,2,FALSE)</f>
        <v>164605.20000000001</v>
      </c>
      <c r="G29" s="145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0"/>
      <c r="L29" s="157"/>
      <c r="M29" s="110"/>
      <c r="N29" s="110"/>
      <c r="O29" s="23" t="str">
        <f t="shared" si="1"/>
        <v>Услуги и работы по управлению МКД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84607.08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0"/>
      <c r="L30" s="15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38846.879999999997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0"/>
      <c r="L31" s="15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0"/>
      <c r="L32" s="157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11522.4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0"/>
      <c r="L33" s="15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70780.2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0"/>
      <c r="L34" s="15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40">
        <f>ПТО!A46</f>
        <v>0</v>
      </c>
      <c r="B35" s="140"/>
      <c r="C35" s="140"/>
      <c r="D35" s="140"/>
      <c r="E35" s="140"/>
      <c r="F35" s="145" t="e">
        <f>VLOOKUP(A35,ПТО!$A$39:$D$53,2,FALSE)</f>
        <v>#N/A</v>
      </c>
      <c r="G35" s="145"/>
      <c r="H35" s="42" t="e">
        <f>VLOOKUP(A35,ПТО!$A$39:$D$53,3,FALSE)</f>
        <v>#N/A</v>
      </c>
      <c r="I35" s="141" t="e">
        <f>VLOOKUP(A35,ПТО!$A$39:$D$53,4,FALSE)</f>
        <v>#N/A</v>
      </c>
      <c r="J35" s="141"/>
      <c r="K35" s="110"/>
      <c r="L35" s="157"/>
      <c r="M35" s="117"/>
      <c r="N35" s="110"/>
      <c r="O35" s="23">
        <f t="shared" si="1"/>
        <v>0</v>
      </c>
      <c r="R35" s="1" t="s">
        <v>75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0"/>
      <c r="L36" s="157"/>
      <c r="M36" s="117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0"/>
      <c r="L37" s="157"/>
      <c r="M37" s="117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0"/>
      <c r="L38" s="157"/>
      <c r="M38" s="117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0"/>
      <c r="L39" s="157"/>
      <c r="M39" s="117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0"/>
      <c r="L40" s="157"/>
      <c r="M40" s="117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0"/>
      <c r="L41" s="157"/>
      <c r="M41" s="117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0"/>
      <c r="L42" s="157"/>
      <c r="M42" s="117"/>
      <c r="N42" s="110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Ремонт привода ворот автопарковки.</v>
      </c>
      <c r="B43" s="140"/>
      <c r="C43" s="140"/>
      <c r="D43" s="140"/>
      <c r="E43" s="140"/>
      <c r="F43" s="145">
        <f>VLOOKUP(A43,ПТО!$A$2:$D$31,4,FALSE)</f>
        <v>750</v>
      </c>
      <c r="G43" s="145"/>
      <c r="H43" s="19" t="str">
        <f>VLOOKUP(A43,ПТО!$A$2:$D$31,2,FALSE)</f>
        <v>разово</v>
      </c>
      <c r="I43" s="141">
        <f>VLOOKUP(A43,ПТО!$A$2:$D$31,3,FALSE)</f>
        <v>1</v>
      </c>
      <c r="J43" s="141"/>
      <c r="K43" s="110"/>
      <c r="L43" s="157"/>
      <c r="M43" s="117"/>
      <c r="N43" s="110"/>
      <c r="O43" s="23" t="str">
        <f t="shared" si="1"/>
        <v>Ремонт привода ворот автопарковки.</v>
      </c>
      <c r="R43" s="22" t="s">
        <v>76</v>
      </c>
    </row>
    <row r="44" spans="1:18" ht="51" customHeight="1" outlineLevel="1">
      <c r="A44" s="140" t="str">
        <f>ПТО!A3</f>
        <v>Механизированная уборка снега с придомовой территории.</v>
      </c>
      <c r="B44" s="140"/>
      <c r="C44" s="140"/>
      <c r="D44" s="140"/>
      <c r="E44" s="140"/>
      <c r="F44" s="145">
        <f>VLOOKUP(A44,ПТО!$A$2:$D$31,4,FALSE)</f>
        <v>3875</v>
      </c>
      <c r="G44" s="145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10"/>
      <c r="L44" s="157"/>
      <c r="M44" s="117"/>
      <c r="N44" s="110"/>
      <c r="O44" s="23" t="str">
        <f t="shared" si="1"/>
        <v>Механизированная уборка снега с придомовой территории.</v>
      </c>
      <c r="R44" s="22" t="s">
        <v>76</v>
      </c>
    </row>
    <row r="45" spans="1:18" ht="51" customHeight="1" outlineLevel="1">
      <c r="A45" s="140" t="str">
        <f>ПТО!A4</f>
        <v>Прочистка сетей канализации.</v>
      </c>
      <c r="B45" s="140"/>
      <c r="C45" s="140"/>
      <c r="D45" s="140"/>
      <c r="E45" s="140"/>
      <c r="F45" s="145">
        <f>VLOOKUP(A45,ПТО!$A$2:$D$31,4,FALSE)</f>
        <v>7269.84</v>
      </c>
      <c r="G45" s="145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10"/>
      <c r="L45" s="157"/>
      <c r="M45" s="117"/>
      <c r="N45" s="110"/>
      <c r="O45" s="23" t="str">
        <f t="shared" si="1"/>
        <v>Прочистка сетей канализации.</v>
      </c>
      <c r="R45" s="22" t="s">
        <v>76</v>
      </c>
    </row>
    <row r="46" spans="1:18" ht="51" customHeight="1" outlineLevel="1">
      <c r="A46" s="140" t="str">
        <f>ПТО!A5</f>
        <v>Ремонт входных дверей.</v>
      </c>
      <c r="B46" s="140"/>
      <c r="C46" s="140"/>
      <c r="D46" s="140"/>
      <c r="E46" s="140"/>
      <c r="F46" s="145">
        <f>VLOOKUP(A46,ПТО!$A$2:$D$31,4,FALSE)</f>
        <v>10000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0"/>
      <c r="L46" s="157"/>
      <c r="M46" s="117"/>
      <c r="N46" s="110"/>
      <c r="O46" s="23" t="str">
        <f t="shared" si="1"/>
        <v>Ремонт входных дверей.</v>
      </c>
      <c r="R46" s="22" t="s">
        <v>76</v>
      </c>
    </row>
    <row r="47" spans="1:18" ht="51" customHeight="1" outlineLevel="1">
      <c r="A47" s="140" t="str">
        <f>ПТО!A6</f>
        <v>Демонтаж, монтаж системы домофон (2 подъезд).</v>
      </c>
      <c r="B47" s="140"/>
      <c r="C47" s="140"/>
      <c r="D47" s="140"/>
      <c r="E47" s="140"/>
      <c r="F47" s="145">
        <f>VLOOKUP(A47,ПТО!$A$2:$D$31,4,FALSE)</f>
        <v>3000</v>
      </c>
      <c r="G47" s="145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10"/>
      <c r="L47" s="157"/>
      <c r="M47" s="117"/>
      <c r="N47" s="110"/>
      <c r="O47" s="23" t="str">
        <f t="shared" si="1"/>
        <v>Демонтаж, монтаж системы домофон (2 подъезд).</v>
      </c>
      <c r="R47" s="22" t="s">
        <v>76</v>
      </c>
    </row>
    <row r="48" spans="1:18" ht="51" customHeight="1" outlineLevel="1">
      <c r="A48" s="140" t="str">
        <f>ПТО!A7</f>
        <v>Ремонт секционных ворот.</v>
      </c>
      <c r="B48" s="140"/>
      <c r="C48" s="140"/>
      <c r="D48" s="140"/>
      <c r="E48" s="140"/>
      <c r="F48" s="145">
        <f>VLOOKUP(A48,ПТО!$A$2:$D$31,4,FALSE)</f>
        <v>2000</v>
      </c>
      <c r="G48" s="145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10"/>
      <c r="L48" s="157"/>
      <c r="M48" s="117"/>
      <c r="N48" s="110"/>
      <c r="O48" s="23" t="str">
        <f t="shared" si="1"/>
        <v>Ремонт секционных ворот.</v>
      </c>
      <c r="R48" s="22" t="s">
        <v>76</v>
      </c>
    </row>
    <row r="49" spans="1:18" ht="51" customHeight="1" outlineLevel="1">
      <c r="A49" s="140" t="str">
        <f>ПТО!A8</f>
        <v>Замена прожектора над подъездом.</v>
      </c>
      <c r="B49" s="140"/>
      <c r="C49" s="140"/>
      <c r="D49" s="140"/>
      <c r="E49" s="140"/>
      <c r="F49" s="145">
        <f>VLOOKUP(A49,ПТО!$A$2:$D$31,4,FALSE)</f>
        <v>1411.1</v>
      </c>
      <c r="G49" s="145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10"/>
      <c r="L49" s="157"/>
      <c r="M49" s="117"/>
      <c r="N49" s="110"/>
      <c r="O49" s="23" t="str">
        <f t="shared" si="1"/>
        <v>Замена прожектора над подъездом.</v>
      </c>
      <c r="R49" s="22" t="s">
        <v>76</v>
      </c>
    </row>
    <row r="50" spans="1:18" ht="51" hidden="1" customHeight="1" outlineLevel="1">
      <c r="A50" s="140">
        <f>ПТО!A9</f>
        <v>0</v>
      </c>
      <c r="B50" s="140"/>
      <c r="C50" s="140"/>
      <c r="D50" s="140"/>
      <c r="E50" s="140"/>
      <c r="F50" s="145" t="e">
        <f>VLOOKUP(A50,ПТО!$A$2:$D$31,4,FALSE)</f>
        <v>#N/A</v>
      </c>
      <c r="G50" s="145"/>
      <c r="H50" s="25" t="e">
        <f>VLOOKUP(A50,ПТО!$A$2:$D$31,2,FALSE)</f>
        <v>#N/A</v>
      </c>
      <c r="I50" s="141" t="e">
        <f>VLOOKUP(A50,ПТО!$A$2:$D$31,3,FALSE)</f>
        <v>#N/A</v>
      </c>
      <c r="J50" s="141"/>
      <c r="K50" s="110"/>
      <c r="L50" s="157"/>
      <c r="M50" s="117"/>
      <c r="N50" s="110"/>
      <c r="O50" s="23">
        <f t="shared" si="1"/>
        <v>0</v>
      </c>
      <c r="R50" s="22" t="s">
        <v>76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0"/>
      <c r="L51" s="157"/>
      <c r="M51" s="117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0"/>
      <c r="L52" s="157"/>
      <c r="M52" s="117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0"/>
      <c r="L53" s="157"/>
      <c r="M53" s="117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0"/>
      <c r="L54" s="157"/>
      <c r="M54" s="117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0"/>
      <c r="L55" s="157"/>
      <c r="M55" s="117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0"/>
      <c r="L56" s="157"/>
      <c r="M56" s="117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0"/>
      <c r="L57" s="157"/>
      <c r="M57" s="117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0"/>
      <c r="L58" s="157"/>
      <c r="M58" s="117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0"/>
      <c r="L59" s="157"/>
      <c r="M59" s="117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0"/>
      <c r="L60" s="157"/>
      <c r="M60" s="117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0"/>
      <c r="L61" s="157"/>
      <c r="M61" s="117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0"/>
      <c r="L62" s="157"/>
      <c r="M62" s="117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0"/>
      <c r="L63" s="157"/>
      <c r="M63" s="117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0"/>
      <c r="L64" s="157"/>
      <c r="M64" s="117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0"/>
      <c r="L65" s="157"/>
      <c r="M65" s="117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0"/>
      <c r="L66" s="157"/>
      <c r="M66" s="117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0"/>
      <c r="L67" s="157"/>
      <c r="M67" s="117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0"/>
      <c r="L68" s="157"/>
      <c r="M68" s="117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0"/>
      <c r="L69" s="157"/>
      <c r="M69" s="117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0"/>
      <c r="L70" s="157"/>
      <c r="M70" s="117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7"/>
      <c r="L71" s="157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0"/>
      <c r="L72" s="157"/>
      <c r="M72" s="117"/>
      <c r="N72" s="110"/>
      <c r="O72" s="23">
        <f t="shared" si="1"/>
        <v>0</v>
      </c>
      <c r="R72" s="22" t="s">
        <v>76</v>
      </c>
    </row>
    <row r="73" spans="1:16384">
      <c r="A73" s="105" t="s">
        <v>178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0"/>
      <c r="L75" s="160"/>
      <c r="M75" s="110"/>
      <c r="N75" s="110"/>
      <c r="O75" s="70" t="s">
        <v>103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0"/>
      <c r="L76" s="160"/>
      <c r="M76" s="110"/>
      <c r="N76" s="110"/>
      <c r="O76" s="70" t="s">
        <v>104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0"/>
      <c r="L77" s="160"/>
      <c r="M77" s="110"/>
      <c r="N77" s="110"/>
      <c r="O77" s="70" t="s">
        <v>105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7">
        <f>VLOOKUP(O78,АО,3,FALSE)</f>
        <v>0</v>
      </c>
      <c r="K78" s="110"/>
      <c r="L78" s="160"/>
      <c r="M78" s="110"/>
      <c r="N78" s="110"/>
      <c r="O78" s="70" t="s">
        <v>106</v>
      </c>
    </row>
    <row r="79" spans="1:16384">
      <c r="A79" s="116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7">
        <f t="shared" ref="J81:J90" si="2">VLOOKUP(O81,АО,3,FALSE)</f>
        <v>0</v>
      </c>
      <c r="K81" s="110"/>
      <c r="L81" s="146"/>
      <c r="M81" s="110"/>
      <c r="N81" s="110"/>
      <c r="O81" s="70" t="s">
        <v>107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7">
        <f t="shared" si="2"/>
        <v>0</v>
      </c>
      <c r="K82" s="110"/>
      <c r="L82" s="146"/>
      <c r="M82" s="110"/>
      <c r="N82" s="110"/>
      <c r="O82" s="70" t="s">
        <v>108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7">
        <f t="shared" si="2"/>
        <v>102548.61</v>
      </c>
      <c r="K83" s="110"/>
      <c r="L83" s="146"/>
      <c r="M83" s="110"/>
      <c r="N83" s="110"/>
      <c r="O83" s="70" t="s">
        <v>109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7">
        <f t="shared" si="2"/>
        <v>0</v>
      </c>
      <c r="K84" s="110"/>
      <c r="L84" s="146"/>
      <c r="M84" s="110"/>
      <c r="N84" s="110"/>
      <c r="O84" s="70" t="s">
        <v>110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7">
        <f t="shared" si="2"/>
        <v>0</v>
      </c>
      <c r="K85" s="110"/>
      <c r="L85" s="146"/>
      <c r="M85" s="110"/>
      <c r="N85" s="110"/>
      <c r="O85" s="70" t="s">
        <v>111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7">
        <f t="shared" si="2"/>
        <v>140679.24</v>
      </c>
      <c r="K86" s="110"/>
      <c r="L86" s="146"/>
      <c r="M86" s="110"/>
      <c r="N86" s="110"/>
      <c r="O86" s="70" t="s">
        <v>112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0"/>
      <c r="L87" s="146"/>
      <c r="M87" s="110"/>
      <c r="N87" s="110"/>
      <c r="O87" s="70" t="s">
        <v>113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0"/>
      <c r="L88" s="146"/>
      <c r="M88" s="110"/>
      <c r="N88" s="110"/>
      <c r="O88" s="70" t="s">
        <v>114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0"/>
      <c r="L89" s="146"/>
      <c r="M89" s="110"/>
      <c r="N89" s="110"/>
      <c r="O89" s="70" t="s">
        <v>115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7">
        <f t="shared" si="2"/>
        <v>0</v>
      </c>
      <c r="K90" s="110"/>
      <c r="L90" s="146"/>
      <c r="M90" s="110"/>
      <c r="N90" s="110"/>
      <c r="O90" s="70" t="s">
        <v>116</v>
      </c>
    </row>
    <row r="91" spans="1:15">
      <c r="A91" s="105" t="s">
        <v>178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1" t="s">
        <v>48</v>
      </c>
      <c r="B93" s="161"/>
      <c r="C93" s="161"/>
      <c r="D93" s="162" t="s">
        <v>49</v>
      </c>
      <c r="E93" s="162"/>
      <c r="F93" s="10" t="s">
        <v>50</v>
      </c>
      <c r="G93" s="161" t="s">
        <v>51</v>
      </c>
      <c r="H93" s="161"/>
      <c r="I93" s="161"/>
      <c r="J93" s="161"/>
      <c r="K93" s="110"/>
      <c r="L93" s="110"/>
      <c r="M93" s="110"/>
      <c r="N93" s="110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168522.12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153901.48000000001</v>
      </c>
      <c r="L95" s="147"/>
      <c r="O95" s="1" t="s">
        <v>117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171321.91</v>
      </c>
      <c r="L96" s="147"/>
      <c r="O96" s="1" t="s">
        <v>118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47"/>
      <c r="O97" s="1" t="s">
        <v>119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168522.12</v>
      </c>
      <c r="L98" s="147"/>
      <c r="O98" s="1" t="s">
        <v>120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168522.12</v>
      </c>
      <c r="L99" s="147"/>
      <c r="O99" s="1" t="s">
        <v>121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122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123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4">
        <f>VLOOKUP("хвс",АО,5,FALSE)</f>
        <v>67760.56</v>
      </c>
      <c r="H102" s="143"/>
      <c r="I102" s="143"/>
      <c r="J102" s="143"/>
      <c r="L102" s="147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4866.1099999999997</v>
      </c>
      <c r="L103" s="147"/>
      <c r="O103" s="1" t="s">
        <v>126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63848.7</v>
      </c>
      <c r="L104" s="147"/>
      <c r="O104" s="1" t="s">
        <v>127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3911.8600000000006</v>
      </c>
      <c r="L105" s="147"/>
      <c r="O105" s="1" t="s">
        <v>128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67760.56</v>
      </c>
      <c r="L106" s="147"/>
      <c r="O106" s="1" t="s">
        <v>129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67760.56</v>
      </c>
      <c r="L107" s="147"/>
      <c r="O107" s="1" t="s">
        <v>130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131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132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4">
        <f>VLOOKUP("воо",АО,5,FALSE)</f>
        <v>120091.57</v>
      </c>
      <c r="H110" s="143"/>
      <c r="I110" s="143"/>
      <c r="J110" s="143"/>
      <c r="L110" s="147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8049.03</v>
      </c>
      <c r="L111" s="147"/>
      <c r="O111" s="1" t="s">
        <v>134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112666.96</v>
      </c>
      <c r="L112" s="147"/>
      <c r="O112" s="1" t="s">
        <v>135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7424.6100000000006</v>
      </c>
      <c r="L113" s="147"/>
      <c r="O113" s="1" t="s">
        <v>136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120091.57</v>
      </c>
      <c r="L114" s="147"/>
      <c r="O114" s="1" t="s">
        <v>137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120091.57</v>
      </c>
      <c r="L115" s="147"/>
      <c r="O115" s="1" t="s">
        <v>138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139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140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4">
        <f>VLOOKUP("тко",АО,5,FALSE)</f>
        <v>108619.12</v>
      </c>
      <c r="H118" s="143"/>
      <c r="I118" s="143"/>
      <c r="J118" s="143"/>
      <c r="L118" s="48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201.03</v>
      </c>
      <c r="L119" s="48"/>
      <c r="O119" s="1" t="s">
        <v>142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82618.710000000006</v>
      </c>
      <c r="L120" s="48"/>
      <c r="O120" s="1" t="s">
        <v>143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26000.409999999989</v>
      </c>
      <c r="L121" s="48"/>
      <c r="O121" s="1" t="s">
        <v>144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108619.12</v>
      </c>
      <c r="L122" s="48"/>
      <c r="O122" s="1" t="s">
        <v>145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108619.12</v>
      </c>
      <c r="L123" s="48"/>
      <c r="O123" s="1" t="s">
        <v>146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8"/>
      <c r="O124" s="1" t="s">
        <v>147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8"/>
      <c r="O125" s="1" t="s">
        <v>148</v>
      </c>
    </row>
    <row r="126" spans="1:15" ht="32.25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4">
        <f>VLOOKUP("гвс",АО,5,FALSE)</f>
        <v>44855.839999999997</v>
      </c>
      <c r="H126" s="143"/>
      <c r="I126" s="143"/>
      <c r="J126" s="143"/>
      <c r="L126" s="48"/>
    </row>
    <row r="127" spans="1:15" ht="32.25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3221.25</v>
      </c>
      <c r="L127" s="48"/>
      <c r="O127" s="1" t="s">
        <v>150</v>
      </c>
    </row>
    <row r="128" spans="1:15" ht="32.25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41262.300000000003</v>
      </c>
      <c r="L128" s="48"/>
      <c r="O128" s="1" t="s">
        <v>151</v>
      </c>
    </row>
    <row r="129" spans="1:15" ht="32.25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3593.5399999999936</v>
      </c>
      <c r="L129" s="48"/>
      <c r="O129" s="1" t="s">
        <v>152</v>
      </c>
    </row>
    <row r="130" spans="1:15" ht="32.25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44855.839999999997</v>
      </c>
      <c r="L130" s="48"/>
      <c r="O130" s="1" t="s">
        <v>153</v>
      </c>
    </row>
    <row r="131" spans="1:15" ht="32.25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44855.839999999997</v>
      </c>
      <c r="L131" s="48"/>
      <c r="O131" s="1" t="s">
        <v>154</v>
      </c>
    </row>
    <row r="132" spans="1:15" ht="32.25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8"/>
      <c r="O132" s="1" t="s">
        <v>155</v>
      </c>
    </row>
    <row r="133" spans="1:15" ht="32.25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8"/>
      <c r="O133" s="1" t="s">
        <v>156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8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8"/>
      <c r="O135" s="1" t="s">
        <v>158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8"/>
      <c r="O136" s="1" t="s">
        <v>159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8"/>
      <c r="O137" s="1" t="s">
        <v>160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8"/>
      <c r="O138" s="1" t="s">
        <v>161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8"/>
      <c r="O139" s="1" t="s">
        <v>162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8"/>
      <c r="O140" s="1" t="s">
        <v>163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8"/>
      <c r="O141" s="1" t="s">
        <v>164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0</v>
      </c>
      <c r="O144" t="s">
        <v>174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3</v>
      </c>
      <c r="L145" s="15"/>
      <c r="O145" t="s">
        <v>175</v>
      </c>
    </row>
    <row r="146" spans="1:15" ht="30" customHeight="1" outlineLevel="1">
      <c r="A146" s="138" t="s">
        <v>177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49838.29</v>
      </c>
      <c r="O146" t="s">
        <v>176</v>
      </c>
    </row>
    <row r="149" spans="1:15" ht="52.5" customHeight="1">
      <c r="A149" s="163" t="s">
        <v>181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5" t="s">
        <v>71</v>
      </c>
      <c r="B154" s="165"/>
      <c r="C154" s="165"/>
      <c r="D154" s="165"/>
      <c r="E154" s="27">
        <f>ПТО!G1</f>
        <v>-12249.5</v>
      </c>
    </row>
    <row r="155" spans="1:15" ht="34.5" customHeight="1">
      <c r="A155" s="164" t="s">
        <v>72</v>
      </c>
      <c r="B155" s="164"/>
      <c r="C155" s="164"/>
      <c r="D155" s="164"/>
      <c r="E155" s="28">
        <f>J13</f>
        <v>65842.080000000002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0" t="str">
        <f t="shared" ref="A158:A163" si="14">IF(N158&gt;0,N158,0)</f>
        <v>Ремонт привода ворот автопарковки.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750</v>
      </c>
      <c r="G158" s="145"/>
      <c r="H158" s="24" t="str">
        <f t="shared" ref="H158:H187" si="16">VLOOKUP(A158,$A$28:$J$72,8,FALSE)</f>
        <v>разово</v>
      </c>
      <c r="I158" s="141">
        <f t="shared" ref="I158:I161" si="17">VLOOKUP(A158,$A$28:$J$72,9,FALSE)</f>
        <v>1</v>
      </c>
      <c r="J158" s="141"/>
      <c r="M158" s="22" t="s">
        <v>76</v>
      </c>
      <c r="N158" s="1" t="str">
        <f t="array" ref="N158:N187">INDEX($O$43:$O$72,SMALL(IF($M$158=R43:R72,ROW(O43:O72)-42,""),ROW()-157))</f>
        <v>Ремонт привода ворот автопарковки.</v>
      </c>
    </row>
    <row r="159" spans="1:15" ht="28.5" customHeight="1">
      <c r="A159" s="140" t="str">
        <f t="shared" si="14"/>
        <v>Механизированная уборка снега с придомовой территории.</v>
      </c>
      <c r="B159" s="140"/>
      <c r="C159" s="140"/>
      <c r="D159" s="140"/>
      <c r="E159" s="140"/>
      <c r="F159" s="145">
        <f t="shared" si="15"/>
        <v>3875</v>
      </c>
      <c r="G159" s="145"/>
      <c r="H159" s="24" t="str">
        <f t="shared" si="16"/>
        <v>разово</v>
      </c>
      <c r="I159" s="141">
        <f t="shared" si="17"/>
        <v>1</v>
      </c>
      <c r="J159" s="141"/>
      <c r="M159" s="22" t="s">
        <v>76</v>
      </c>
      <c r="N159" s="1" t="str">
        <v>Механизированная уборка снега с придомовой территории.</v>
      </c>
    </row>
    <row r="160" spans="1:15" ht="28.5" customHeight="1">
      <c r="A160" s="140" t="str">
        <f t="shared" si="14"/>
        <v>Прочистка сетей канализации.</v>
      </c>
      <c r="B160" s="140"/>
      <c r="C160" s="140"/>
      <c r="D160" s="140"/>
      <c r="E160" s="140"/>
      <c r="F160" s="145">
        <f t="shared" si="15"/>
        <v>7269.84</v>
      </c>
      <c r="G160" s="145"/>
      <c r="H160" s="24" t="str">
        <f t="shared" si="16"/>
        <v>разово</v>
      </c>
      <c r="I160" s="141">
        <f t="shared" si="17"/>
        <v>1</v>
      </c>
      <c r="J160" s="141"/>
      <c r="M160" s="22" t="s">
        <v>76</v>
      </c>
      <c r="N160" s="1" t="str">
        <v>Прочистка сетей канализации.</v>
      </c>
    </row>
    <row r="161" spans="1:14" ht="28.5" customHeight="1">
      <c r="A161" s="140" t="str">
        <f>IF(N161&gt;0,N161,0)</f>
        <v>Ремонт входных дверей.</v>
      </c>
      <c r="B161" s="140"/>
      <c r="C161" s="140"/>
      <c r="D161" s="140"/>
      <c r="E161" s="140"/>
      <c r="F161" s="145">
        <f t="shared" si="15"/>
        <v>10000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76</v>
      </c>
      <c r="N161" s="1" t="str">
        <v>Ремонт входных дверей.</v>
      </c>
    </row>
    <row r="162" spans="1:14" ht="28.5" customHeight="1">
      <c r="A162" s="140" t="str">
        <f t="shared" si="14"/>
        <v>Демонтаж, монтаж системы домофон (2 подъезд).</v>
      </c>
      <c r="B162" s="140"/>
      <c r="C162" s="140"/>
      <c r="D162" s="140"/>
      <c r="E162" s="140"/>
      <c r="F162" s="145">
        <f t="shared" si="15"/>
        <v>3000</v>
      </c>
      <c r="G162" s="145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76</v>
      </c>
      <c r="N162" s="1" t="str">
        <v>Демонтаж, монтаж системы домофон (2 подъезд).</v>
      </c>
    </row>
    <row r="163" spans="1:14" ht="28.5" customHeight="1">
      <c r="A163" s="140" t="str">
        <f t="shared" si="14"/>
        <v>Ремонт секционных ворот.</v>
      </c>
      <c r="B163" s="140"/>
      <c r="C163" s="140"/>
      <c r="D163" s="140"/>
      <c r="E163" s="140"/>
      <c r="F163" s="145">
        <f t="shared" si="15"/>
        <v>2000</v>
      </c>
      <c r="G163" s="145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76</v>
      </c>
      <c r="N163" s="1" t="str">
        <v>Ремонт секционных ворот.</v>
      </c>
    </row>
    <row r="164" spans="1:14" ht="28.5" customHeight="1">
      <c r="A164" s="140" t="str">
        <f t="shared" ref="A164:A187" si="18">IF(N164&gt;0,N164,0)</f>
        <v>Замена прожектора над подъездом.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1411.1</v>
      </c>
      <c r="G164" s="145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76</v>
      </c>
      <c r="N164" s="1" t="str">
        <v>Замена прожектора над подъездом.</v>
      </c>
    </row>
    <row r="165" spans="1:14" ht="28.5" hidden="1" customHeight="1">
      <c r="A165" s="140">
        <f t="shared" si="18"/>
        <v>0</v>
      </c>
      <c r="B165" s="140"/>
      <c r="C165" s="140"/>
      <c r="D165" s="140"/>
      <c r="E165" s="140"/>
      <c r="F165" s="145">
        <f t="shared" si="19"/>
        <v>0</v>
      </c>
      <c r="G165" s="145"/>
      <c r="H165" s="29" t="e">
        <f t="shared" si="16"/>
        <v>#N/A</v>
      </c>
      <c r="I165" s="141" t="e">
        <f t="shared" si="20"/>
        <v>#N/A</v>
      </c>
      <c r="J165" s="141"/>
      <c r="M165" s="22" t="s">
        <v>76</v>
      </c>
      <c r="N165" s="1">
        <v>0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5">
        <f t="shared" si="19"/>
        <v>0</v>
      </c>
      <c r="G166" s="145"/>
      <c r="H166" s="29" t="e">
        <f t="shared" si="16"/>
        <v>#N/A</v>
      </c>
      <c r="I166" s="141" t="e">
        <f t="shared" si="20"/>
        <v>#N/A</v>
      </c>
      <c r="J166" s="141"/>
      <c r="M166" s="22" t="s">
        <v>76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5">
        <f t="shared" si="19"/>
        <v>0</v>
      </c>
      <c r="G167" s="145"/>
      <c r="H167" s="29" t="e">
        <f t="shared" si="16"/>
        <v>#N/A</v>
      </c>
      <c r="I167" s="141" t="e">
        <f t="shared" si="20"/>
        <v>#N/A</v>
      </c>
      <c r="J167" s="141"/>
      <c r="M167" s="22" t="s">
        <v>76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5">
        <f t="shared" si="19"/>
        <v>0</v>
      </c>
      <c r="G168" s="145"/>
      <c r="H168" s="29" t="e">
        <f t="shared" si="16"/>
        <v>#N/A</v>
      </c>
      <c r="I168" s="141" t="e">
        <f t="shared" si="20"/>
        <v>#N/A</v>
      </c>
      <c r="J168" s="141"/>
      <c r="M168" s="22" t="s">
        <v>76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5">
        <f t="shared" si="19"/>
        <v>0</v>
      </c>
      <c r="G169" s="145"/>
      <c r="H169" s="29" t="e">
        <f t="shared" si="16"/>
        <v>#N/A</v>
      </c>
      <c r="I169" s="141" t="e">
        <f t="shared" si="20"/>
        <v>#N/A</v>
      </c>
      <c r="J169" s="141"/>
      <c r="M169" s="22" t="s">
        <v>76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5">
        <f t="shared" si="19"/>
        <v>0</v>
      </c>
      <c r="G170" s="145"/>
      <c r="H170" s="29" t="e">
        <f t="shared" si="16"/>
        <v>#N/A</v>
      </c>
      <c r="I170" s="141" t="e">
        <f t="shared" si="20"/>
        <v>#N/A</v>
      </c>
      <c r="J170" s="141"/>
      <c r="M170" s="22" t="s">
        <v>76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5">
        <f t="shared" si="19"/>
        <v>0</v>
      </c>
      <c r="G171" s="145"/>
      <c r="H171" s="29" t="e">
        <f t="shared" si="16"/>
        <v>#N/A</v>
      </c>
      <c r="I171" s="141" t="e">
        <f t="shared" si="20"/>
        <v>#N/A</v>
      </c>
      <c r="J171" s="141"/>
      <c r="M171" s="22" t="s">
        <v>76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5">
        <f t="shared" si="19"/>
        <v>0</v>
      </c>
      <c r="G172" s="145"/>
      <c r="H172" s="29" t="e">
        <f t="shared" si="16"/>
        <v>#N/A</v>
      </c>
      <c r="I172" s="141" t="e">
        <f t="shared" si="20"/>
        <v>#N/A</v>
      </c>
      <c r="J172" s="141"/>
      <c r="M172" s="22" t="s">
        <v>76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76</v>
      </c>
      <c r="N187" s="1">
        <v>0</v>
      </c>
    </row>
    <row r="188" spans="1:14" ht="29.25" customHeight="1">
      <c r="A188" s="105" t="s">
        <v>178</v>
      </c>
    </row>
    <row r="189" spans="1:14" ht="29.25" customHeight="1">
      <c r="A189" s="105" t="s">
        <v>178</v>
      </c>
    </row>
    <row r="190" spans="1:14" ht="36.75" customHeight="1">
      <c r="A190" s="165" t="s">
        <v>73</v>
      </c>
      <c r="B190" s="165"/>
      <c r="C190" s="165"/>
      <c r="D190" s="165"/>
      <c r="E190" s="27">
        <f>SUM(F158:G187)</f>
        <v>28305.94</v>
      </c>
    </row>
    <row r="191" spans="1:14" ht="51.75" customHeight="1">
      <c r="A191" s="165" t="s">
        <v>74</v>
      </c>
      <c r="B191" s="165"/>
      <c r="C191" s="165"/>
      <c r="D191" s="165"/>
      <c r="E191" s="27">
        <f>E190+E154-E155</f>
        <v>-49785.64</v>
      </c>
    </row>
    <row r="192" spans="1:14">
      <c r="A192" s="105" t="s">
        <v>178</v>
      </c>
    </row>
    <row r="193" spans="1:10" ht="62.25" customHeight="1">
      <c r="A193" s="139" t="s">
        <v>77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>
      <c r="A194" s="137" t="str">
        <f>ПТО!F12</f>
        <v xml:space="preserve">  -  поверка (замена) манометров и термометров</v>
      </c>
      <c r="B194" s="137"/>
      <c r="C194" s="137"/>
      <c r="D194" s="137"/>
      <c r="E194" s="137"/>
      <c r="F194" s="137"/>
      <c r="G194" s="137"/>
      <c r="H194" s="49">
        <f>ПТО!G12</f>
        <v>1200</v>
      </c>
      <c r="I194" s="50" t="s">
        <v>79</v>
      </c>
    </row>
    <row r="195" spans="1:10" ht="18.75" customHeight="1">
      <c r="A195" s="137" t="str">
        <f>ПТО!F13</f>
        <v xml:space="preserve">  -  механизированная уборка снега с придомовой территории</v>
      </c>
      <c r="B195" s="137"/>
      <c r="C195" s="137"/>
      <c r="D195" s="137"/>
      <c r="E195" s="137"/>
      <c r="F195" s="137"/>
      <c r="G195" s="137"/>
      <c r="H195" s="49">
        <f>ПТО!G13</f>
        <v>25000</v>
      </c>
      <c r="I195" s="50" t="s">
        <v>79</v>
      </c>
    </row>
    <row r="196" spans="1:10" ht="18.75" customHeight="1">
      <c r="A196" s="137" t="str">
        <f>ПТО!F14</f>
        <v xml:space="preserve">  -  генеральная уборка в подъездах</v>
      </c>
      <c r="B196" s="137"/>
      <c r="C196" s="137"/>
      <c r="D196" s="137"/>
      <c r="E196" s="137"/>
      <c r="F196" s="137"/>
      <c r="G196" s="137"/>
      <c r="H196" s="49">
        <f>ПТО!G14</f>
        <v>20000</v>
      </c>
      <c r="I196" s="50" t="s">
        <v>79</v>
      </c>
    </row>
    <row r="197" spans="1:10" ht="18.75" customHeight="1">
      <c r="A197" s="137" t="str">
        <f>ПТО!F15</f>
        <v xml:space="preserve">  -  ремонт подъездов</v>
      </c>
      <c r="B197" s="137"/>
      <c r="C197" s="137"/>
      <c r="D197" s="137"/>
      <c r="E197" s="137"/>
      <c r="F197" s="137"/>
      <c r="G197" s="137"/>
      <c r="H197" s="49">
        <f>ПТО!G15</f>
        <v>210000</v>
      </c>
      <c r="I197" s="50" t="s">
        <v>79</v>
      </c>
    </row>
    <row r="198" spans="1:10" ht="18.75" hidden="1" customHeight="1">
      <c r="A198" s="137">
        <f>ПТО!F16</f>
        <v>0</v>
      </c>
      <c r="B198" s="137"/>
      <c r="C198" s="137"/>
      <c r="D198" s="137"/>
      <c r="E198" s="137"/>
      <c r="F198" s="137"/>
      <c r="G198" s="137"/>
      <c r="H198" s="49">
        <f>ПТО!G16</f>
        <v>0</v>
      </c>
      <c r="I198" s="52" t="s">
        <v>79</v>
      </c>
    </row>
    <row r="199" spans="1:10" ht="18.75" hidden="1" customHeight="1">
      <c r="A199" s="137">
        <f>ПТО!F17</f>
        <v>0</v>
      </c>
      <c r="B199" s="137"/>
      <c r="C199" s="137"/>
      <c r="D199" s="137"/>
      <c r="E199" s="137"/>
      <c r="F199" s="137"/>
      <c r="G199" s="137"/>
      <c r="H199" s="49">
        <f>ПТО!G17</f>
        <v>0</v>
      </c>
      <c r="I199" s="50" t="s">
        <v>79</v>
      </c>
    </row>
    <row r="200" spans="1:10" hidden="1">
      <c r="A200" s="137">
        <f>ПТО!F18</f>
        <v>0</v>
      </c>
      <c r="B200" s="137"/>
      <c r="C200" s="137"/>
      <c r="D200" s="137"/>
      <c r="E200" s="137"/>
      <c r="F200" s="137"/>
      <c r="G200" s="137"/>
      <c r="H200" s="49">
        <f>ПТО!G18</f>
        <v>0</v>
      </c>
      <c r="I200" s="50" t="s">
        <v>79</v>
      </c>
    </row>
    <row r="201" spans="1:10" hidden="1">
      <c r="A201" s="137">
        <f>ПТО!F19</f>
        <v>0</v>
      </c>
      <c r="B201" s="137"/>
      <c r="C201" s="137"/>
      <c r="D201" s="137"/>
      <c r="E201" s="137"/>
      <c r="F201" s="137"/>
      <c r="G201" s="137"/>
      <c r="H201" s="49">
        <f>ПТО!G19</f>
        <v>0</v>
      </c>
      <c r="I201" s="50" t="s">
        <v>79</v>
      </c>
    </row>
    <row r="202" spans="1:10" hidden="1">
      <c r="A202" s="137">
        <f>ПТО!F20</f>
        <v>0</v>
      </c>
      <c r="B202" s="137"/>
      <c r="C202" s="137"/>
      <c r="D202" s="137"/>
      <c r="E202" s="137"/>
      <c r="F202" s="137"/>
      <c r="G202" s="137"/>
      <c r="H202" s="49">
        <f>ПТО!G20</f>
        <v>0</v>
      </c>
      <c r="I202" s="50" t="s">
        <v>79</v>
      </c>
    </row>
    <row r="203" spans="1:10" hidden="1">
      <c r="A203" s="137">
        <f>ПТО!F21</f>
        <v>0</v>
      </c>
      <c r="B203" s="137"/>
      <c r="C203" s="137"/>
      <c r="D203" s="137"/>
      <c r="E203" s="137"/>
      <c r="F203" s="137"/>
      <c r="G203" s="137"/>
      <c r="H203" s="49">
        <f>ПТО!G21</f>
        <v>0</v>
      </c>
      <c r="I203" s="50" t="s">
        <v>79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49">
        <f>ПТО!G22</f>
        <v>0</v>
      </c>
      <c r="I204" s="50" t="s">
        <v>79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49">
        <f>ПТО!G23</f>
        <v>0</v>
      </c>
      <c r="I205" s="50" t="s">
        <v>79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49">
        <f>ПТО!G24</f>
        <v>0</v>
      </c>
      <c r="I206" s="50" t="s">
        <v>79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49">
        <f>ПТО!G25</f>
        <v>0</v>
      </c>
      <c r="I207" s="50" t="s">
        <v>79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49">
        <f>ПТО!G26</f>
        <v>0</v>
      </c>
      <c r="I208" s="50" t="s">
        <v>79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49">
        <f>ПТО!G27</f>
        <v>0</v>
      </c>
      <c r="I209" s="50" t="s">
        <v>79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49">
        <f>ПТО!G28</f>
        <v>0</v>
      </c>
      <c r="I210" s="50" t="s">
        <v>79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49">
        <f>ПТО!G29</f>
        <v>0</v>
      </c>
      <c r="I211" s="50" t="s">
        <v>79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49">
        <f>ПТО!G30</f>
        <v>0</v>
      </c>
      <c r="I212" s="50" t="s">
        <v>79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49">
        <f>ПТО!G31</f>
        <v>0</v>
      </c>
      <c r="I213" s="50" t="s">
        <v>79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256200</v>
      </c>
      <c r="I214" s="56" t="s">
        <v>81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A16" sqref="A16:I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71</v>
      </c>
      <c r="G1" s="102">
        <f>-12249.5</f>
        <v>-12249.5</v>
      </c>
    </row>
    <row r="2" spans="1:12" ht="18.75" customHeight="1">
      <c r="A2" s="124" t="s">
        <v>182</v>
      </c>
      <c r="B2" s="125" t="s">
        <v>179</v>
      </c>
      <c r="C2" s="125">
        <v>1</v>
      </c>
      <c r="D2" s="126">
        <v>750</v>
      </c>
      <c r="E2" s="127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6" t="s">
        <v>189</v>
      </c>
      <c r="B3" s="128" t="s">
        <v>179</v>
      </c>
      <c r="C3" s="128">
        <v>1</v>
      </c>
      <c r="D3" s="129">
        <v>3875</v>
      </c>
      <c r="E3" s="127" t="s">
        <v>192</v>
      </c>
      <c r="F3" s="30"/>
      <c r="G3" s="30"/>
      <c r="L3" s="33" t="str">
        <f t="shared" si="0"/>
        <v>ТР</v>
      </c>
    </row>
    <row r="4" spans="1:12" ht="18.75" customHeight="1">
      <c r="A4" s="124" t="s">
        <v>183</v>
      </c>
      <c r="B4" s="125" t="s">
        <v>179</v>
      </c>
      <c r="C4" s="125">
        <v>1</v>
      </c>
      <c r="D4" s="126">
        <v>7269.84</v>
      </c>
      <c r="E4" s="127" t="s">
        <v>193</v>
      </c>
      <c r="F4" s="30"/>
      <c r="G4" s="30"/>
      <c r="L4" s="33" t="str">
        <f t="shared" si="0"/>
        <v>ТР</v>
      </c>
    </row>
    <row r="5" spans="1:12" ht="18.75" customHeight="1">
      <c r="A5" s="130" t="s">
        <v>184</v>
      </c>
      <c r="B5" s="125" t="s">
        <v>179</v>
      </c>
      <c r="C5" s="125">
        <v>1</v>
      </c>
      <c r="D5" s="126">
        <v>10000</v>
      </c>
      <c r="E5" s="127" t="s">
        <v>194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190</v>
      </c>
      <c r="B6" s="131" t="s">
        <v>179</v>
      </c>
      <c r="C6" s="43">
        <v>1</v>
      </c>
      <c r="D6" s="47">
        <v>3000</v>
      </c>
      <c r="E6" s="127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19" t="s">
        <v>186</v>
      </c>
      <c r="B7" s="120" t="s">
        <v>179</v>
      </c>
      <c r="C7" s="121">
        <v>1</v>
      </c>
      <c r="D7" s="122">
        <v>2000</v>
      </c>
      <c r="E7" s="123" t="s">
        <v>187</v>
      </c>
      <c r="F7" s="46"/>
      <c r="G7" s="46"/>
      <c r="K7" s="47"/>
      <c r="L7" s="33" t="str">
        <f t="shared" si="0"/>
        <v>ТР</v>
      </c>
    </row>
    <row r="8" spans="1:12" ht="18.75" customHeight="1">
      <c r="A8" s="132" t="s">
        <v>188</v>
      </c>
      <c r="B8" s="133" t="s">
        <v>179</v>
      </c>
      <c r="C8" s="134">
        <v>1</v>
      </c>
      <c r="D8" s="47">
        <v>1411.1</v>
      </c>
      <c r="E8" s="127" t="s">
        <v>196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77</v>
      </c>
      <c r="G11" s="112"/>
      <c r="L11" s="33">
        <f t="shared" si="0"/>
        <v>0</v>
      </c>
    </row>
    <row r="12" spans="1:12" ht="31.5">
      <c r="A12" s="30"/>
      <c r="F12" s="113" t="s">
        <v>78</v>
      </c>
      <c r="G12" s="114">
        <v>1200</v>
      </c>
      <c r="L12" s="33">
        <f t="shared" si="0"/>
        <v>0</v>
      </c>
    </row>
    <row r="13" spans="1:12" ht="15.75">
      <c r="A13" s="30"/>
      <c r="F13" s="135" t="s">
        <v>199</v>
      </c>
      <c r="G13" s="115">
        <v>25000</v>
      </c>
      <c r="L13" s="33">
        <f t="shared" si="0"/>
        <v>0</v>
      </c>
    </row>
    <row r="14" spans="1:12" ht="15.75">
      <c r="A14" s="30"/>
      <c r="F14" s="135" t="s">
        <v>197</v>
      </c>
      <c r="G14" s="115">
        <v>20000</v>
      </c>
      <c r="L14" s="33">
        <f t="shared" si="0"/>
        <v>0</v>
      </c>
    </row>
    <row r="15" spans="1:12" ht="15.75">
      <c r="A15" s="30"/>
      <c r="F15" s="135" t="s">
        <v>198</v>
      </c>
      <c r="G15" s="115">
        <v>210000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127075.2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127075.2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200</v>
      </c>
      <c r="B40" s="38">
        <v>164605.20000000001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164605.20000000001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84607.08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84607.08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38846.879999999997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38846.879999999997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11522.4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11522.4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70780.2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70780.2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m1fg/RCJ2zxqjCykTzUv0wrDNjVx+LR/pdzy3+bXHMsuNk63Hb0Ngl6Pjl2MqPXf7jUUrLWjwUyJXzcVktmz1g==" saltValue="IOCVucOv67C2Qx4jfsgZ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A16" sqref="A16:I1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185</v>
      </c>
      <c r="F1" s="60">
        <v>2743.42</v>
      </c>
    </row>
    <row r="2" spans="1:10" ht="15.75" customHeight="1">
      <c r="A2" s="70" t="s">
        <v>86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87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4</v>
      </c>
      <c r="C4" s="83">
        <v>242384.34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5</v>
      </c>
      <c r="C5" s="79">
        <f>SUM(C6:C8)</f>
        <v>582494.81999999995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6</v>
      </c>
      <c r="C6" s="83">
        <v>516652.74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7</v>
      </c>
      <c r="C7" s="83">
        <f>F1*2*12</f>
        <v>65842.080000000002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9</v>
      </c>
      <c r="C9" s="79">
        <f>SUM(C10:C14)</f>
        <v>325644.84000000003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10</v>
      </c>
      <c r="C10" s="83">
        <v>325644.84000000003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15</v>
      </c>
      <c r="C15" s="79">
        <f>C9</f>
        <v>325644.84000000003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18</v>
      </c>
      <c r="C18" s="79">
        <f>IF(C16&gt;0,0,IF(C4&gt;0,C4+C5-C9,C5-C2-C9))</f>
        <v>499234.31999999989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8"/>
      <c r="N20" s="62"/>
    </row>
    <row r="21" spans="1:15" ht="15.75" customHeight="1">
      <c r="A21" s="70" t="s">
        <v>104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8"/>
      <c r="N21" s="62"/>
    </row>
    <row r="22" spans="1:15" ht="15.75" customHeight="1">
      <c r="A22" s="70" t="s">
        <v>105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8"/>
      <c r="N22" s="62"/>
    </row>
    <row r="23" spans="1:15" ht="15.75" customHeight="1">
      <c r="A23" s="70" t="s">
        <v>106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8"/>
      <c r="N23" s="62"/>
    </row>
    <row r="24" spans="1:15" ht="18.75">
      <c r="A24" s="73" t="s">
        <v>166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7"/>
      <c r="N25" s="63"/>
    </row>
    <row r="26" spans="1:15" ht="18.75" customHeight="1">
      <c r="A26" s="70" t="s">
        <v>108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7"/>
      <c r="N26" s="63"/>
    </row>
    <row r="27" spans="1:15" ht="18.75" customHeight="1">
      <c r="A27" s="70" t="s">
        <v>109</v>
      </c>
      <c r="B27" s="75" t="s">
        <v>4</v>
      </c>
      <c r="C27" s="86">
        <v>102548.61</v>
      </c>
      <c r="D27" s="81" t="s">
        <v>60</v>
      </c>
      <c r="E27" s="64"/>
      <c r="F27" s="64"/>
      <c r="G27" s="64"/>
      <c r="H27" s="64"/>
      <c r="I27" s="64"/>
      <c r="J27" s="64"/>
      <c r="M27" s="167"/>
      <c r="N27" s="63"/>
    </row>
    <row r="28" spans="1:15" ht="18.75" customHeight="1">
      <c r="A28" s="70" t="s">
        <v>110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7"/>
      <c r="N28" s="63"/>
    </row>
    <row r="29" spans="1:15" ht="18.75" customHeight="1">
      <c r="A29" s="70" t="s">
        <v>111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7"/>
      <c r="N29" s="63"/>
    </row>
    <row r="30" spans="1:15" ht="18.75" customHeight="1">
      <c r="A30" s="70" t="s">
        <v>112</v>
      </c>
      <c r="B30" s="75" t="s">
        <v>18</v>
      </c>
      <c r="C30" s="86">
        <v>140679.24</v>
      </c>
      <c r="D30" s="81" t="s">
        <v>66</v>
      </c>
      <c r="E30" s="64"/>
      <c r="F30" s="64"/>
      <c r="G30" s="64"/>
      <c r="H30" s="64"/>
      <c r="I30" s="64"/>
      <c r="J30" s="64"/>
      <c r="M30" s="167"/>
      <c r="N30" s="63"/>
    </row>
    <row r="31" spans="1:15" ht="18.75" customHeight="1">
      <c r="A31" s="70" t="s">
        <v>113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7"/>
      <c r="N31" s="63"/>
    </row>
    <row r="32" spans="1:15" ht="18.75" customHeight="1">
      <c r="A32" s="70" t="s">
        <v>114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7"/>
      <c r="N32" s="63"/>
    </row>
    <row r="33" spans="1:15" ht="18.75" customHeight="1">
      <c r="A33" s="70" t="s">
        <v>115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7"/>
      <c r="N33" s="63"/>
    </row>
    <row r="34" spans="1:15" ht="18.75" customHeight="1">
      <c r="A34" s="70" t="s">
        <v>116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7"/>
      <c r="N34" s="63"/>
    </row>
    <row r="35" spans="1:15" ht="18.75">
      <c r="A35" s="73" t="s">
        <v>167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168522.12</v>
      </c>
      <c r="F37" s="94" t="s">
        <v>171</v>
      </c>
      <c r="G37" s="66"/>
      <c r="H37" s="66"/>
      <c r="I37" s="66"/>
      <c r="L37" s="63"/>
      <c r="M37" s="166"/>
      <c r="N37" s="63"/>
      <c r="O37" s="63"/>
    </row>
    <row r="38" spans="1:15" ht="18.75" customHeight="1">
      <c r="A38" s="70" t="s">
        <v>117</v>
      </c>
      <c r="B38" s="78" t="s">
        <v>37</v>
      </c>
      <c r="C38" s="90">
        <v>153901.48000000001</v>
      </c>
      <c r="D38" s="94" t="s">
        <v>169</v>
      </c>
      <c r="E38" s="68"/>
      <c r="G38" s="67"/>
      <c r="H38" s="67"/>
      <c r="L38" s="63"/>
      <c r="M38" s="166"/>
      <c r="N38" s="63"/>
      <c r="O38" s="63"/>
    </row>
    <row r="39" spans="1:15" ht="18.75" customHeight="1">
      <c r="A39" s="70" t="s">
        <v>118</v>
      </c>
      <c r="B39" s="78" t="s">
        <v>38</v>
      </c>
      <c r="C39" s="91">
        <v>171321.91</v>
      </c>
      <c r="D39" s="94" t="s">
        <v>170</v>
      </c>
      <c r="E39" s="68"/>
      <c r="G39" s="67"/>
      <c r="H39" s="67"/>
      <c r="L39" s="63"/>
      <c r="M39" s="166"/>
      <c r="N39" s="63"/>
      <c r="O39" s="63"/>
    </row>
    <row r="40" spans="1:15" ht="18.75" customHeight="1">
      <c r="A40" s="70" t="s">
        <v>119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66"/>
      <c r="N40" s="63"/>
      <c r="O40" s="63"/>
    </row>
    <row r="41" spans="1:15" ht="18.75" customHeight="1">
      <c r="A41" s="70" t="s">
        <v>120</v>
      </c>
      <c r="B41" s="78" t="s">
        <v>40</v>
      </c>
      <c r="C41" s="93">
        <f>E37</f>
        <v>168522.12</v>
      </c>
      <c r="D41" s="80" t="s">
        <v>59</v>
      </c>
      <c r="E41" s="68"/>
      <c r="G41" s="67"/>
      <c r="H41" s="67"/>
      <c r="L41" s="63"/>
      <c r="M41" s="166"/>
      <c r="N41" s="63"/>
      <c r="O41" s="63"/>
    </row>
    <row r="42" spans="1:15" ht="18.75" customHeight="1">
      <c r="A42" s="70" t="s">
        <v>121</v>
      </c>
      <c r="B42" s="78" t="s">
        <v>41</v>
      </c>
      <c r="C42" s="93">
        <f>E37</f>
        <v>168522.12</v>
      </c>
      <c r="D42" s="80" t="s">
        <v>59</v>
      </c>
      <c r="E42" s="68"/>
      <c r="G42" s="67"/>
      <c r="H42" s="67"/>
      <c r="L42" s="63"/>
      <c r="M42" s="166"/>
      <c r="N42" s="63"/>
      <c r="O42" s="63"/>
    </row>
    <row r="43" spans="1:15" ht="18.75" customHeight="1">
      <c r="A43" s="70" t="s">
        <v>122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6"/>
      <c r="N43" s="63"/>
      <c r="O43" s="63"/>
    </row>
    <row r="44" spans="1:15" ht="30" customHeight="1">
      <c r="A44" s="70" t="s">
        <v>123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6"/>
      <c r="N44" s="63"/>
      <c r="O44" s="63"/>
    </row>
    <row r="45" spans="1:15" ht="18.75">
      <c r="A45" s="73" t="s">
        <v>125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67760.56</v>
      </c>
      <c r="F45" s="94" t="s">
        <v>171</v>
      </c>
      <c r="G45" s="66"/>
      <c r="H45" s="66"/>
      <c r="L45" s="63"/>
      <c r="M45" s="166"/>
      <c r="N45" s="63"/>
      <c r="O45" s="63"/>
    </row>
    <row r="46" spans="1:15" ht="18.75" customHeight="1">
      <c r="A46" s="73" t="s">
        <v>126</v>
      </c>
      <c r="B46" s="78" t="s">
        <v>37</v>
      </c>
      <c r="C46" s="90">
        <v>4866.1099999999997</v>
      </c>
      <c r="D46" s="94" t="s">
        <v>172</v>
      </c>
      <c r="E46" s="68"/>
      <c r="G46" s="67"/>
      <c r="H46" s="67"/>
      <c r="L46" s="63"/>
      <c r="M46" s="166"/>
      <c r="N46" s="63"/>
      <c r="O46" s="63"/>
    </row>
    <row r="47" spans="1:15" ht="18.75" customHeight="1">
      <c r="A47" s="73" t="s">
        <v>127</v>
      </c>
      <c r="B47" s="78" t="s">
        <v>38</v>
      </c>
      <c r="C47" s="91">
        <v>63848.7</v>
      </c>
      <c r="D47" s="94" t="s">
        <v>170</v>
      </c>
      <c r="E47" s="68"/>
      <c r="G47" s="67"/>
      <c r="H47" s="67"/>
      <c r="L47" s="63"/>
      <c r="M47" s="166"/>
      <c r="N47" s="63"/>
      <c r="O47" s="63"/>
    </row>
    <row r="48" spans="1:15" ht="18.75" customHeight="1">
      <c r="A48" s="73" t="s">
        <v>128</v>
      </c>
      <c r="B48" s="78" t="s">
        <v>39</v>
      </c>
      <c r="C48" s="93">
        <f>IF(E45-C47&lt;0,0,E45-C47)</f>
        <v>3911.8600000000006</v>
      </c>
      <c r="D48" s="80" t="s">
        <v>59</v>
      </c>
      <c r="E48" s="68"/>
      <c r="G48" s="67"/>
      <c r="H48" s="67"/>
      <c r="L48" s="63"/>
      <c r="M48" s="166"/>
      <c r="N48" s="63"/>
      <c r="O48" s="63"/>
    </row>
    <row r="49" spans="1:15" ht="18.75" customHeight="1">
      <c r="A49" s="73" t="s">
        <v>129</v>
      </c>
      <c r="B49" s="78" t="s">
        <v>40</v>
      </c>
      <c r="C49" s="93">
        <f>E45</f>
        <v>67760.56</v>
      </c>
      <c r="D49" s="80" t="s">
        <v>59</v>
      </c>
      <c r="E49" s="68"/>
      <c r="G49" s="67"/>
      <c r="H49" s="67"/>
      <c r="L49" s="63"/>
      <c r="M49" s="166"/>
      <c r="N49" s="63"/>
      <c r="O49" s="63"/>
    </row>
    <row r="50" spans="1:15" ht="18.75" customHeight="1">
      <c r="A50" s="73" t="s">
        <v>130</v>
      </c>
      <c r="B50" s="78" t="s">
        <v>41</v>
      </c>
      <c r="C50" s="93">
        <f>E45</f>
        <v>67760.56</v>
      </c>
      <c r="D50" s="80" t="s">
        <v>59</v>
      </c>
      <c r="E50" s="68"/>
      <c r="G50" s="67"/>
      <c r="H50" s="67"/>
      <c r="L50" s="63"/>
      <c r="M50" s="166"/>
      <c r="N50" s="63"/>
      <c r="O50" s="63"/>
    </row>
    <row r="51" spans="1:15" ht="18.75" customHeight="1">
      <c r="A51" s="73" t="s">
        <v>131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6"/>
      <c r="N51" s="63"/>
      <c r="O51" s="63"/>
    </row>
    <row r="52" spans="1:15" ht="29.25" customHeight="1">
      <c r="A52" s="73" t="s">
        <v>132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6"/>
      <c r="N52" s="63"/>
      <c r="O52" s="63"/>
    </row>
    <row r="53" spans="1:15" ht="18.75">
      <c r="A53" s="73" t="s">
        <v>133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120091.57</v>
      </c>
      <c r="F53" s="94" t="s">
        <v>171</v>
      </c>
      <c r="G53" s="66"/>
      <c r="H53" s="66"/>
      <c r="L53" s="63"/>
      <c r="M53" s="166"/>
      <c r="N53" s="63"/>
      <c r="O53" s="63"/>
    </row>
    <row r="54" spans="1:15" ht="18.75" customHeight="1">
      <c r="A54" s="73" t="s">
        <v>134</v>
      </c>
      <c r="B54" s="75" t="s">
        <v>37</v>
      </c>
      <c r="C54" s="99">
        <v>8049.03</v>
      </c>
      <c r="D54" s="94" t="s">
        <v>172</v>
      </c>
      <c r="E54" s="69"/>
      <c r="F54" s="89"/>
      <c r="G54" s="64"/>
      <c r="H54" s="64"/>
      <c r="L54" s="63"/>
      <c r="M54" s="166"/>
      <c r="N54" s="63"/>
      <c r="O54" s="63"/>
    </row>
    <row r="55" spans="1:15" ht="18.75" customHeight="1">
      <c r="A55" s="73" t="s">
        <v>135</v>
      </c>
      <c r="B55" s="75" t="s">
        <v>38</v>
      </c>
      <c r="C55" s="86">
        <v>112666.96</v>
      </c>
      <c r="D55" s="94" t="s">
        <v>170</v>
      </c>
      <c r="E55" s="69"/>
      <c r="G55" s="64"/>
      <c r="H55" s="64"/>
      <c r="L55" s="63"/>
      <c r="M55" s="166"/>
      <c r="N55" s="63"/>
      <c r="O55" s="63"/>
    </row>
    <row r="56" spans="1:15" ht="18.75" customHeight="1">
      <c r="A56" s="73" t="s">
        <v>136</v>
      </c>
      <c r="B56" s="75" t="s">
        <v>39</v>
      </c>
      <c r="C56" s="93">
        <f>IF(E53-C55&lt;0,0,E53-C55)</f>
        <v>7424.6100000000006</v>
      </c>
      <c r="D56" s="80" t="s">
        <v>59</v>
      </c>
      <c r="E56" s="69"/>
      <c r="G56" s="64"/>
      <c r="H56" s="64"/>
      <c r="L56" s="63"/>
      <c r="M56" s="166"/>
      <c r="N56" s="63"/>
      <c r="O56" s="63"/>
    </row>
    <row r="57" spans="1:15" ht="18.75" customHeight="1">
      <c r="A57" s="73" t="s">
        <v>137</v>
      </c>
      <c r="B57" s="75" t="s">
        <v>40</v>
      </c>
      <c r="C57" s="93">
        <f>E53</f>
        <v>120091.57</v>
      </c>
      <c r="D57" s="80" t="s">
        <v>59</v>
      </c>
      <c r="E57" s="69"/>
      <c r="G57" s="64"/>
      <c r="H57" s="64"/>
      <c r="L57" s="63"/>
      <c r="M57" s="166"/>
      <c r="N57" s="63"/>
      <c r="O57" s="63"/>
    </row>
    <row r="58" spans="1:15" ht="18.75" customHeight="1">
      <c r="A58" s="73" t="s">
        <v>138</v>
      </c>
      <c r="B58" s="75" t="s">
        <v>41</v>
      </c>
      <c r="C58" s="93">
        <f>E53</f>
        <v>120091.57</v>
      </c>
      <c r="D58" s="80" t="s">
        <v>59</v>
      </c>
      <c r="E58" s="69"/>
      <c r="G58" s="64"/>
      <c r="H58" s="64"/>
      <c r="L58" s="63"/>
      <c r="M58" s="166"/>
      <c r="N58" s="63"/>
      <c r="O58" s="63"/>
    </row>
    <row r="59" spans="1:15" ht="18.75" customHeight="1">
      <c r="A59" s="73" t="s">
        <v>139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6"/>
      <c r="N59" s="63"/>
      <c r="O59" s="63"/>
    </row>
    <row r="60" spans="1:15" ht="33.75" customHeight="1">
      <c r="A60" s="73" t="s">
        <v>140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6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55</v>
      </c>
      <c r="E61" s="95">
        <v>108619.12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37</v>
      </c>
      <c r="C62" s="99">
        <v>201.03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38</v>
      </c>
      <c r="C63" s="86">
        <v>82618.710000000006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39</v>
      </c>
      <c r="C64" s="93">
        <f>IF(E61-C63&lt;0,0,E61-C63)</f>
        <v>26000.409999999989</v>
      </c>
      <c r="D64" s="80" t="s">
        <v>59</v>
      </c>
      <c r="E64" s="69"/>
      <c r="G64" s="64"/>
      <c r="H64" s="64"/>
    </row>
    <row r="65" spans="1:8" ht="15.75" customHeight="1">
      <c r="A65" s="73" t="s">
        <v>145</v>
      </c>
      <c r="B65" s="75" t="s">
        <v>40</v>
      </c>
      <c r="C65" s="93">
        <f>E61</f>
        <v>108619.12</v>
      </c>
      <c r="D65" s="80" t="s">
        <v>59</v>
      </c>
      <c r="E65" s="69"/>
      <c r="G65" s="64"/>
      <c r="H65" s="64"/>
    </row>
    <row r="66" spans="1:8" ht="15.75" customHeight="1">
      <c r="A66" s="73" t="s">
        <v>146</v>
      </c>
      <c r="B66" s="75" t="s">
        <v>41</v>
      </c>
      <c r="C66" s="93">
        <f>E61</f>
        <v>108619.12</v>
      </c>
      <c r="D66" s="80" t="s">
        <v>59</v>
      </c>
      <c r="E66" s="69"/>
      <c r="G66" s="64"/>
      <c r="H66" s="64"/>
    </row>
    <row r="67" spans="1:8" ht="15.75" customHeight="1">
      <c r="A67" s="73" t="s">
        <v>147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148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55</v>
      </c>
      <c r="E69" s="95">
        <v>44855.839999999997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37</v>
      </c>
      <c r="C70" s="99">
        <v>3221.25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38</v>
      </c>
      <c r="C71" s="86">
        <v>41262.300000000003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39</v>
      </c>
      <c r="C72" s="93">
        <f>IF(E69-C71&lt;0,0,E69-C71)</f>
        <v>3593.5399999999936</v>
      </c>
      <c r="D72" s="80" t="s">
        <v>59</v>
      </c>
      <c r="E72" s="69"/>
      <c r="G72" s="64"/>
      <c r="H72" s="64"/>
    </row>
    <row r="73" spans="1:8" ht="15.75" customHeight="1">
      <c r="A73" s="73" t="s">
        <v>153</v>
      </c>
      <c r="B73" s="75" t="s">
        <v>40</v>
      </c>
      <c r="C73" s="93">
        <f>E69</f>
        <v>44855.839999999997</v>
      </c>
      <c r="D73" s="80" t="s">
        <v>59</v>
      </c>
      <c r="E73" s="69"/>
      <c r="G73" s="64"/>
      <c r="H73" s="64"/>
    </row>
    <row r="74" spans="1:8" ht="15.75" customHeight="1">
      <c r="A74" s="73" t="s">
        <v>154</v>
      </c>
      <c r="B74" s="75" t="s">
        <v>41</v>
      </c>
      <c r="C74" s="93">
        <f>E69</f>
        <v>44855.839999999997</v>
      </c>
      <c r="D74" s="80" t="s">
        <v>59</v>
      </c>
      <c r="E74" s="69"/>
      <c r="G74" s="64"/>
      <c r="H74" s="64"/>
    </row>
    <row r="75" spans="1:8" ht="15.75" customHeight="1">
      <c r="A75" s="73" t="s">
        <v>155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156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>
        <f>IF(E77&gt;0,"Предоставляется",0)</f>
        <v>0</v>
      </c>
      <c r="D77" s="96" t="s">
        <v>85</v>
      </c>
      <c r="E77" s="95">
        <v>0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37</v>
      </c>
      <c r="C78" s="99">
        <v>0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38</v>
      </c>
      <c r="C79" s="86">
        <v>0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161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162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163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164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6" sqref="A16:I16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46</v>
      </c>
      <c r="C3" s="106">
        <v>3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176</v>
      </c>
      <c r="B4" s="59" t="s">
        <v>47</v>
      </c>
      <c r="C4" s="107">
        <v>49838.29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2020-03-24T05:59:59Z</dcterms:modified>
</cp:coreProperties>
</file>